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aF/35IxX+j+rpmUYGEaDPrks/Q+0NSehSiuA9blCjN8qXWvxdiVLaPg3vfqso1nlnvdZPpkU1vKPTiuhQ2EN2A==" workbookSaltValue="qfwlQCeu5jis1iFDFSFg7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BH25" i="16"/>
  <c r="BJ10" i="11"/>
  <c r="BG17" i="11"/>
  <c r="BM21" i="11"/>
  <c r="AO25" i="17"/>
  <c r="BJ17" i="11"/>
  <c r="BL17" i="11"/>
  <c r="T14" i="20"/>
  <c r="BH22" i="11"/>
  <c r="BF25" i="8"/>
  <c r="AY14" i="8"/>
  <c r="BD9" i="8"/>
  <c r="BF9" i="8"/>
  <c r="L10" i="2"/>
  <c r="C30" i="7"/>
  <c r="L29" i="2"/>
  <c r="L16" i="2"/>
  <c r="L17" i="2"/>
  <c r="X19" i="16"/>
  <c r="L18" i="2"/>
  <c r="AO14" i="21"/>
  <c r="L20" i="2"/>
  <c r="AA11" i="16"/>
  <c r="L21" i="2"/>
  <c r="AP14" i="16"/>
  <c r="AA9" i="16"/>
  <c r="V9" i="16"/>
  <c r="T23" i="17"/>
  <c r="T26" i="17" s="1"/>
  <c r="T30" i="17" s="1"/>
  <c r="BG16" i="13"/>
  <c r="BE17" i="13"/>
  <c r="BE16" i="13"/>
  <c r="G30" i="14"/>
  <c r="G23" i="14"/>
  <c r="X32" i="20"/>
  <c r="BF18" i="8" l="1"/>
  <c r="BF17" i="8"/>
  <c r="AK31" i="8"/>
  <c r="BD12" i="8"/>
  <c r="H12" i="7" s="1"/>
  <c r="X13" i="16"/>
  <c r="V25" i="16"/>
  <c r="L9" i="2"/>
  <c r="U9" i="17"/>
  <c r="U31" i="17" s="1"/>
  <c r="L19" i="2"/>
  <c r="X10" i="21"/>
  <c r="L13" i="2"/>
  <c r="L25" i="2"/>
  <c r="L12" i="2"/>
  <c r="S17" i="17"/>
  <c r="S16" i="17"/>
  <c r="X21" i="20"/>
  <c r="L28" i="2"/>
  <c r="BK22" i="11"/>
  <c r="BH12" i="16"/>
  <c r="BM9" i="11"/>
  <c r="S18" i="17"/>
  <c r="Q16" i="17"/>
  <c r="BK20" i="11"/>
  <c r="BF12" i="11"/>
  <c r="T17" i="11"/>
  <c r="R28" i="14"/>
  <c r="S11" i="17"/>
  <c r="BV10" i="16"/>
  <c r="BW16" i="20"/>
  <c r="BW17" i="20"/>
  <c r="BU21" i="17"/>
  <c r="BU11" i="17"/>
  <c r="BJ28" i="11"/>
  <c r="AZ9" i="11"/>
  <c r="AZ14" i="11" s="1"/>
  <c r="AZ13" i="11"/>
  <c r="BI19" i="11"/>
  <c r="BI25" i="11"/>
  <c r="BG22" i="11"/>
  <c r="Q18" i="20"/>
  <c r="Q23" i="20" s="1"/>
  <c r="V16" i="11"/>
  <c r="Z14" i="17"/>
  <c r="L22" i="2"/>
  <c r="BI21" i="11"/>
  <c r="BK10" i="11"/>
  <c r="BH25" i="11"/>
  <c r="BI22" i="11"/>
  <c r="AQ12" i="21"/>
  <c r="BL22" i="11"/>
  <c r="BH17" i="11"/>
  <c r="BF16"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N32" i="20"/>
  <c r="Z32" i="20"/>
  <c r="T32" i="20"/>
  <c r="AM32" i="20"/>
  <c r="Q32" i="20"/>
  <c r="W32" i="21"/>
  <c r="E32" i="20"/>
  <c r="AV32" i="20"/>
  <c r="O32" i="20"/>
  <c r="AQ32" i="21"/>
  <c r="Y32" i="20"/>
  <c r="L32" i="20"/>
  <c r="AJ32" i="20"/>
  <c r="AH32" i="20"/>
  <c r="I32" i="20"/>
  <c r="O18" i="11"/>
  <c r="AB32" i="20"/>
  <c r="AI32" i="20"/>
  <c r="S32" i="20"/>
  <c r="R32" i="20"/>
  <c r="N32" i="20"/>
  <c r="AA32" i="20"/>
  <c r="AC32" i="20"/>
  <c r="J18" i="12" l="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<sst xmlns="http://schemas.openxmlformats.org/spreadsheetml/2006/main" count="2682" uniqueCount="1193">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</sst>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T3AiCs+7hGWjUTzmUEh3REgi4ycgesSMTyHSIIiOt2ooLil3tHSsIou5o35VTkcBktly68Dfg76OJLPh1MQSw==" saltValue="u5Up8yTkPf8LnsiX0XgM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6</v>
      </c>
      <c r="F10" s="240">
        <f>IF(ISNUMBER(Datos!K10),Datos!K10," - ")</f>
        <v>11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5.168287937743191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6</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191</v>
      </c>
      <c r="D17" s="239">
        <f>IF(ISNUMBER(IF(D_I="SI",Datos!I17,Datos!I17+Datos!AC17)),IF(D_I="SI",Datos!I17,Datos!I17+Datos!AC17)," - ")</f>
        <v>191</v>
      </c>
      <c r="E17" s="240">
        <f>IF(ISNUMBER(IF(D_I="SI",Datos!J17,Datos!J17+Datos!AD17)),IF(D_I="SI",Datos!J17,Datos!J17+Datos!AD17)," - ")</f>
        <v>730</v>
      </c>
      <c r="F17" s="240">
        <f>IF(ISNUMBER(IF(D_I="SI",Datos!K17,Datos!K17+Datos!AE17)),IF(D_I="SI",Datos!K17,Datos!K17+Datos!AE17)," - ")</f>
        <v>627</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0.53926701570680624</v>
      </c>
      <c r="L17" s="1402">
        <f>IF(ISNUMBER(NºAsuntos!I17/NºAsuntos!G17),(NºAsuntos!I17/NºAsuntos!G17)*11," - ")</f>
        <v>5.1578947368421053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37</v>
      </c>
      <c r="F18" s="240">
        <f>IF(ISNUMBER(IF(D_I="SI",Datos!K18,Datos!K18+Datos!AE18)),IF(D_I="SI",Datos!K18,Datos!K18+Datos!AE18)," - ")</f>
        <v>33</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10.666666666666668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v>
      </c>
      <c r="D23" s="1407">
        <f>SUBTOTAL(9,D16:D22)</f>
        <v>219</v>
      </c>
      <c r="E23" s="1408">
        <f>SUBTOTAL(9,E16:E22)</f>
        <v>767</v>
      </c>
      <c r="F23" s="1408">
        <f>SUBTOTAL(9,F16:F22)</f>
        <v>660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v>
      </c>
      <c r="D31" s="1435">
        <f>SUBTOTAL(9,D9:D30)</f>
        <v>224</v>
      </c>
      <c r="E31" s="1436">
        <f>SUBTOTAL(9,E9:E30)</f>
        <v>773</v>
      </c>
      <c r="F31" s="1436">
        <f>SUBTOTAL(9,F9:F30)</f>
        <v>671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FIaTjgLXFhLw1v4rmI0mt9Ds2ftgectCg4PUfxCwVgej8oc/YET3rKQN0KOXFUuE8YGF9CawkfKBnY/OPTgsA==" saltValue="Kb2FmDt60TJZJ+AVZ6VY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2K2cZCWzBTsFabm09wz0MeI45HWgBL8l1He3NBn+U8mTLYx7I5EVrlwLjCKnWh/fKNj61FS+szdWw8GLQkt2A==" saltValue="lGXkZk/IyWBQQ+tqSnaa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6</v>
      </c>
      <c r="K10" s="194">
        <v>11</v>
      </c>
      <c r="L10" s="194">
        <v>0</v>
      </c>
      <c r="M10" s="194">
        <v>6</v>
      </c>
      <c r="N10" s="194">
        <v>1</v>
      </c>
      <c r="O10" s="194">
        <v>0</v>
      </c>
      <c r="P10" s="194">
        <v>0</v>
      </c>
      <c r="Q10" s="194">
        <v>0</v>
      </c>
      <c r="R10" s="194">
        <v>0</v>
      </c>
      <c r="S10" s="194">
        <v>6</v>
      </c>
      <c r="T10" s="194">
        <v>6</v>
      </c>
      <c r="U10" s="194">
        <v>7</v>
      </c>
      <c r="V10" s="194">
        <v>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6</v>
      </c>
      <c r="BA10" s="139">
        <f t="shared" si="0"/>
        <v>7</v>
      </c>
      <c r="BB10" s="139">
        <f t="shared" si="0"/>
        <v>5</v>
      </c>
      <c r="BC10" s="135">
        <f t="shared" si="0"/>
        <v>3</v>
      </c>
      <c r="BD10" s="136">
        <f>IF(ISNUMBER(BA10/AZ10),BA10/AZ10," - ")</f>
        <v>1.1666666666666667</v>
      </c>
      <c r="BE10" s="137">
        <f>IF(ISNUMBER(BB10/BA10),BB10/BA10, " - ")</f>
        <v>0.7142857142857143</v>
      </c>
      <c r="BF10" s="137">
        <f>IF(ISNUMBER(BC10/BA10),BC10/BA10, " - ")</f>
        <v>0.42857142857142855</v>
      </c>
      <c r="BG10" s="209">
        <f>IF(ISNUMBER((AY10+AZ10)/BA10),(AY10+AZ10)/BA10," - ")</f>
        <v>1.7142857142857142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422</v>
      </c>
      <c r="J12" s="196">
        <v>916</v>
      </c>
      <c r="K12" s="196">
        <v>892</v>
      </c>
      <c r="L12" s="196">
        <v>446</v>
      </c>
      <c r="M12" s="196">
        <v>277</v>
      </c>
      <c r="N12" s="196">
        <v>385</v>
      </c>
      <c r="O12" s="194">
        <v>413</v>
      </c>
      <c r="P12" s="196">
        <v>238</v>
      </c>
      <c r="Q12" s="196">
        <v>280</v>
      </c>
      <c r="R12" s="196">
        <v>853</v>
      </c>
      <c r="S12" s="196">
        <v>420</v>
      </c>
      <c r="T12" s="196">
        <v>901</v>
      </c>
      <c r="U12" s="196">
        <v>899</v>
      </c>
      <c r="V12" s="196">
        <v>422</v>
      </c>
      <c r="W12" s="196">
        <v>270</v>
      </c>
      <c r="X12" s="202">
        <v>394</v>
      </c>
      <c r="Y12" s="204">
        <v>42</v>
      </c>
      <c r="Z12" s="194">
        <v>131</v>
      </c>
      <c r="AA12" s="194">
        <v>136</v>
      </c>
      <c r="AB12" s="194">
        <v>37</v>
      </c>
      <c r="AC12" s="196">
        <v>0</v>
      </c>
      <c r="AD12" s="196">
        <v>0</v>
      </c>
      <c r="AE12" s="196">
        <v>0</v>
      </c>
      <c r="AF12" s="202">
        <v>0</v>
      </c>
      <c r="AG12" s="215">
        <v>48</v>
      </c>
      <c r="AH12" s="196">
        <v>158</v>
      </c>
      <c r="AI12" s="196">
        <v>164</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468</v>
      </c>
      <c r="AZ12" s="137">
        <f t="shared" si="1"/>
        <v>1059</v>
      </c>
      <c r="BA12" s="137">
        <f t="shared" si="1"/>
        <v>1063</v>
      </c>
      <c r="BB12" s="137">
        <f t="shared" si="1"/>
        <v>464</v>
      </c>
      <c r="BC12" s="135">
        <f>IF(ISNUMBER(X12),X12," - ")</f>
        <v>394</v>
      </c>
      <c r="BD12" s="136">
        <f t="shared" si="2"/>
        <v>1.0037771482530689</v>
      </c>
      <c r="BE12" s="137">
        <f t="shared" si="3"/>
        <v>0.43650047036688616</v>
      </c>
      <c r="BF12" s="137">
        <f t="shared" si="4"/>
        <v>0.37064910630291625</v>
      </c>
      <c r="BG12" s="209">
        <f t="shared" si="5"/>
        <v>1.4365004703668862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427</v>
      </c>
      <c r="J14" s="197">
        <f t="shared" si="7"/>
        <v>922</v>
      </c>
      <c r="K14" s="197">
        <f t="shared" si="7"/>
        <v>903</v>
      </c>
      <c r="L14" s="197">
        <f t="shared" si="7"/>
        <v>446</v>
      </c>
      <c r="M14" s="197">
        <f t="shared" si="7"/>
        <v>283</v>
      </c>
      <c r="N14" s="197">
        <f t="shared" si="7"/>
        <v>386</v>
      </c>
      <c r="O14" s="197">
        <f t="shared" si="7"/>
        <v>413</v>
      </c>
      <c r="P14" s="197">
        <f t="shared" si="7"/>
        <v>238</v>
      </c>
      <c r="Q14" s="197">
        <f t="shared" si="7"/>
        <v>280</v>
      </c>
      <c r="R14" s="197">
        <f t="shared" si="7"/>
        <v>853</v>
      </c>
      <c r="S14" s="197">
        <f t="shared" si="7"/>
        <v>426</v>
      </c>
      <c r="T14" s="197">
        <f t="shared" si="7"/>
        <v>907</v>
      </c>
      <c r="U14" s="197">
        <f t="shared" si="7"/>
        <v>906</v>
      </c>
      <c r="V14" s="197">
        <f t="shared" si="7"/>
        <v>427</v>
      </c>
      <c r="W14" s="197">
        <f t="shared" si="7"/>
        <v>273</v>
      </c>
      <c r="X14" s="197">
        <f t="shared" si="7"/>
        <v>394</v>
      </c>
      <c r="Y14" s="197">
        <f t="shared" si="7"/>
        <v>42</v>
      </c>
      <c r="Z14" s="197">
        <f t="shared" si="7"/>
        <v>131</v>
      </c>
      <c r="AA14" s="197">
        <f t="shared" si="7"/>
        <v>136</v>
      </c>
      <c r="AB14" s="197">
        <f t="shared" si="7"/>
        <v>37</v>
      </c>
      <c r="AC14" s="197">
        <f t="shared" si="7"/>
        <v>0</v>
      </c>
      <c r="AD14" s="197">
        <f t="shared" si="7"/>
        <v>0</v>
      </c>
      <c r="AE14" s="197">
        <f t="shared" si="7"/>
        <v>0</v>
      </c>
      <c r="AF14" s="197">
        <f>SUBTOTAL(9,AF9:AF13)</f>
        <v>0</v>
      </c>
      <c r="AG14" s="197">
        <f t="shared" ref="AG14:AT14" si="8">SUBTOTAL(9,AG8:AG13)</f>
        <v>48</v>
      </c>
      <c r="AH14" s="197">
        <f t="shared" si="8"/>
        <v>158</v>
      </c>
      <c r="AI14" s="197">
        <f t="shared" si="8"/>
        <v>164</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474</v>
      </c>
      <c r="AZ14" s="197">
        <f>SUBTOTAL(9,AZ8:AZ13)</f>
        <v>1065</v>
      </c>
      <c r="BA14" s="197">
        <f>SUBTOTAL(9,BA8:BA13)</f>
        <v>1070</v>
      </c>
      <c r="BB14" s="197">
        <f>SUBTOTAL(9,BB8:BB13)</f>
        <v>469</v>
      </c>
      <c r="BC14" s="197">
        <f>SUBTOTAL(9,BC8:BC13)</f>
        <v>397</v>
      </c>
      <c r="BD14" s="219">
        <f>IF(ISNUMBER(BA14/AZ14),BA14/AZ14," - ")</f>
        <v>1.0046948356807512</v>
      </c>
      <c r="BE14" s="220">
        <f>IF(ISNUMBER(BB14/BA14),BB14/BA14, " - ")</f>
        <v>0.43831775700934578</v>
      </c>
      <c r="BF14" s="220">
        <f>IF(ISNUMBER(BC14/BA14),BC14/BA14, " - ")</f>
        <v>0.37102803738317758</v>
      </c>
      <c r="BG14" s="221">
        <f>IF(ISNUMBER((AY14+AZ14)/BA14),(AY14+AZ14)/BA14," - ")</f>
        <v>1.4383177570093457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191</v>
      </c>
      <c r="J17" s="196">
        <v>730</v>
      </c>
      <c r="K17" s="196">
        <v>627</v>
      </c>
      <c r="L17" s="196">
        <v>294</v>
      </c>
      <c r="M17" s="196">
        <v>135</v>
      </c>
      <c r="N17" s="196">
        <v>320</v>
      </c>
      <c r="O17" s="194">
        <v>11</v>
      </c>
      <c r="P17" s="196">
        <v>8</v>
      </c>
      <c r="Q17" s="196">
        <v>27</v>
      </c>
      <c r="R17" s="196">
        <v>19</v>
      </c>
      <c r="S17" s="196">
        <v>301</v>
      </c>
      <c r="T17" s="196">
        <v>843</v>
      </c>
      <c r="U17" s="196">
        <v>918</v>
      </c>
      <c r="V17" s="196">
        <v>191</v>
      </c>
      <c r="W17" s="196">
        <v>135</v>
      </c>
      <c r="X17" s="202">
        <v>451</v>
      </c>
      <c r="Y17" s="215">
        <v>0</v>
      </c>
      <c r="Z17" s="196">
        <v>0</v>
      </c>
      <c r="AA17" s="196">
        <v>0</v>
      </c>
      <c r="AB17" s="196">
        <v>0</v>
      </c>
      <c r="AC17" s="196">
        <v>0</v>
      </c>
      <c r="AD17" s="196">
        <v>1</v>
      </c>
      <c r="AE17" s="196">
        <v>1</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301</v>
      </c>
      <c r="AZ17" s="137">
        <f t="shared" si="10"/>
        <v>843</v>
      </c>
      <c r="BA17" s="137">
        <f t="shared" si="10"/>
        <v>918</v>
      </c>
      <c r="BB17" s="137">
        <f t="shared" si="10"/>
        <v>191</v>
      </c>
      <c r="BC17" s="135">
        <f>IF(ISNUMBER(W17),W17," - ")</f>
        <v>135</v>
      </c>
      <c r="BD17" s="136">
        <f t="shared" ref="BD17:BD22" si="12">IF(ISNUMBER(BA17/AZ17),BA17/AZ17," - ")</f>
        <v>1.0889679715302492</v>
      </c>
      <c r="BE17" s="137">
        <f t="shared" ref="BE17:BE22" si="13">IF(ISNUMBER(BB17/BA17),BB17/BA17, " - ")</f>
        <v>0.20806100217864923</v>
      </c>
      <c r="BF17" s="137">
        <f t="shared" ref="BF17:BF22" si="14">IF(ISNUMBER(BC17/BA17),BC17/BA17, " - ")</f>
        <v>0.14705882352941177</v>
      </c>
      <c r="BG17" s="209">
        <f t="shared" si="11"/>
        <v>1.2461873638344227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37</v>
      </c>
      <c r="K18" s="196">
        <v>33</v>
      </c>
      <c r="L18" s="196">
        <v>32</v>
      </c>
      <c r="M18" s="196">
        <v>0</v>
      </c>
      <c r="N18" s="196">
        <v>39</v>
      </c>
      <c r="O18" s="196">
        <v>0</v>
      </c>
      <c r="P18" s="196">
        <v>0</v>
      </c>
      <c r="Q18" s="196">
        <v>0</v>
      </c>
      <c r="R18" s="196">
        <v>0</v>
      </c>
      <c r="S18" s="196">
        <v>29</v>
      </c>
      <c r="T18" s="196">
        <v>84</v>
      </c>
      <c r="U18" s="196">
        <v>85</v>
      </c>
      <c r="V18" s="196">
        <v>28</v>
      </c>
      <c r="W18" s="196">
        <v>6</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84</v>
      </c>
      <c r="BA18" s="139">
        <f t="shared" si="15"/>
        <v>85</v>
      </c>
      <c r="BB18" s="139">
        <f t="shared" si="15"/>
        <v>28</v>
      </c>
      <c r="BC18" s="135">
        <f>IF(ISNUMBER(W18),W18," - ")</f>
        <v>6</v>
      </c>
      <c r="BD18" s="136">
        <f>IF(ISNUMBER(BA18/AZ18),BA18/AZ18," - ")</f>
        <v>1.0119047619047619</v>
      </c>
      <c r="BE18" s="137">
        <f>IF(ISNUMBER(BB18/BA18),BB18/BA18, " - ")</f>
        <v>0.32941176470588235</v>
      </c>
      <c r="BF18" s="137">
        <f>IF(ISNUMBER(BC18/BA18),BC18/BA18, " - ")</f>
        <v>7.0588235294117646E-2</v>
      </c>
      <c r="BG18" s="209">
        <f>IF(ISNUMBER((AY18+AZ18)/BA18),(AY18+AZ18)/BA18," - ")</f>
        <v>1.3294117647058823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767</v>
      </c>
      <c r="K23" s="197">
        <f t="shared" si="21"/>
        <v>660</v>
      </c>
      <c r="L23" s="197">
        <f t="shared" si="21"/>
        <v>326</v>
      </c>
      <c r="M23" s="197">
        <f t="shared" si="21"/>
        <v>135</v>
      </c>
      <c r="N23" s="197">
        <f t="shared" si="21"/>
        <v>359</v>
      </c>
      <c r="O23" s="197">
        <f t="shared" si="21"/>
        <v>11</v>
      </c>
      <c r="P23" s="197">
        <f t="shared" si="21"/>
        <v>8</v>
      </c>
      <c r="Q23" s="197">
        <f t="shared" si="21"/>
        <v>27</v>
      </c>
      <c r="R23" s="197">
        <f t="shared" si="21"/>
        <v>19</v>
      </c>
      <c r="S23" s="197">
        <f t="shared" si="21"/>
        <v>330</v>
      </c>
      <c r="T23" s="197">
        <f t="shared" si="21"/>
        <v>927</v>
      </c>
      <c r="U23" s="197">
        <f t="shared" si="21"/>
        <v>1003</v>
      </c>
      <c r="V23" s="197">
        <f t="shared" si="21"/>
        <v>219</v>
      </c>
      <c r="W23" s="197">
        <f t="shared" si="21"/>
        <v>141</v>
      </c>
      <c r="X23" s="197">
        <f t="shared" si="21"/>
        <v>503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330</v>
      </c>
      <c r="AZ23" s="197">
        <f>SUBTOTAL(9,AZ15:AZ22)</f>
        <v>927</v>
      </c>
      <c r="BA23" s="197">
        <f>SUBTOTAL(9,BA15:BA22)</f>
        <v>1003</v>
      </c>
      <c r="BB23" s="197">
        <f>SUBTOTAL(9,BB15:BB22)</f>
        <v>219</v>
      </c>
      <c r="BC23" s="197">
        <f>SUBTOTAL(9,BC15:BC22)</f>
        <v>141</v>
      </c>
      <c r="BD23" s="219">
        <f>IF(ISNUMBER(BA23/AZ23),BA23/AZ23," - ")</f>
        <v>1.0819848975188782</v>
      </c>
      <c r="BE23" s="220">
        <f>IF(ISNUMBER(BB23/BA23),BB23/BA23, " - ")</f>
        <v>0.21834496510468593</v>
      </c>
      <c r="BF23" s="220">
        <f>IF(ISNUMBER(BC23/BA23),BC23/BA23, " - ")</f>
        <v>0.14057826520438685</v>
      </c>
      <c r="BG23" s="221">
        <f>IF(ISNUMBER((AY23+AZ23)/BA23),(AY23+AZ23)/BA23," - ")</f>
        <v>1.2532402791625126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646</v>
      </c>
      <c r="J31" s="144">
        <f t="shared" si="36"/>
        <v>1689</v>
      </c>
      <c r="K31" s="144">
        <f t="shared" si="36"/>
        <v>1563</v>
      </c>
      <c r="L31" s="144">
        <f t="shared" si="36"/>
        <v>772</v>
      </c>
      <c r="M31" s="144">
        <f t="shared" si="36"/>
        <v>418</v>
      </c>
      <c r="N31" s="144">
        <f t="shared" si="36"/>
        <v>745</v>
      </c>
      <c r="O31" s="144">
        <f t="shared" si="36"/>
        <v>424</v>
      </c>
      <c r="P31" s="144">
        <f t="shared" si="36"/>
        <v>246</v>
      </c>
      <c r="Q31" s="144">
        <f t="shared" si="36"/>
        <v>307</v>
      </c>
      <c r="R31" s="144">
        <f t="shared" si="36"/>
        <v>872</v>
      </c>
      <c r="S31" s="144">
        <f t="shared" si="36"/>
        <v>756</v>
      </c>
      <c r="T31" s="144">
        <f t="shared" si="36"/>
        <v>1834</v>
      </c>
      <c r="U31" s="144">
        <f t="shared" si="36"/>
        <v>1909</v>
      </c>
      <c r="V31" s="144">
        <f t="shared" si="36"/>
        <v>646</v>
      </c>
      <c r="W31" s="144">
        <f t="shared" si="36"/>
        <v>414</v>
      </c>
      <c r="X31" s="144">
        <f t="shared" si="36"/>
        <v>897</v>
      </c>
      <c r="Y31" s="144">
        <f t="shared" si="36"/>
        <v>42</v>
      </c>
      <c r="Z31" s="144">
        <f t="shared" si="36"/>
        <v>131</v>
      </c>
      <c r="AA31" s="144">
        <f t="shared" si="36"/>
        <v>136</v>
      </c>
      <c r="AB31" s="144">
        <f t="shared" si="36"/>
        <v>37</v>
      </c>
      <c r="AC31" s="144">
        <f t="shared" si="36"/>
        <v>0</v>
      </c>
      <c r="AD31" s="144">
        <f t="shared" si="36"/>
        <v>1</v>
      </c>
      <c r="AE31" s="144">
        <f t="shared" si="36"/>
        <v>1</v>
      </c>
      <c r="AF31" s="144">
        <f t="shared" si="36"/>
        <v>0</v>
      </c>
      <c r="AG31" s="144">
        <f t="shared" si="36"/>
        <v>48</v>
      </c>
      <c r="AH31" s="144">
        <f t="shared" si="36"/>
        <v>158</v>
      </c>
      <c r="AI31" s="144">
        <f t="shared" si="36"/>
        <v>164</v>
      </c>
      <c r="AJ31" s="144">
        <f t="shared" si="36"/>
        <v>42</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804</v>
      </c>
      <c r="AZ31" s="144">
        <f>SUBTOTAL(9,AZ9:AZ30)</f>
        <v>1992</v>
      </c>
      <c r="BA31" s="144">
        <f>SUBTOTAL(9,BA9:BA30)</f>
        <v>2073</v>
      </c>
      <c r="BB31" s="144">
        <f>SUBTOTAL(9,BB9:BB30)</f>
        <v>688</v>
      </c>
      <c r="BC31" s="145">
        <f>SUBTOTAL(9,BC9:BC30)</f>
        <v>538</v>
      </c>
      <c r="BD31" s="227">
        <f>IF(ISNUMBER(BA31/AZ31),BA31/AZ31," - ")</f>
        <v>1.0406626506024097</v>
      </c>
      <c r="BE31" s="224">
        <f>IF(ISNUMBER(BB31/BA31),BB31/BA31, " - ")</f>
        <v>0.33188615533043897</v>
      </c>
      <c r="BF31" s="224">
        <f>IF(ISNUMBER(BC31/BA31),BC31/BA31, " - ")</f>
        <v>0.25952725518572117</v>
      </c>
      <c r="BG31" s="145">
        <f>IF(ISNUMBER((AY31+AZ31)/BA31),(AY31+AZ31)/BA31," - ")</f>
        <v>1.3487698986975398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OTbk05K9OZjW74iiPB+mlR4zA6gooUxIaZ0LOTPdYxla0hXJxQzhwP2oSrimMFqJj+AJWsC6EtBtteu84VPA==" saltValue="Gz5DukZ1VdqdFi8zumfo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wMDBgwmkfIL8HUJG+i489LXu+9AO41eTZWdfZ18Z59kuOM6ShogWAIjQJ9uE9hDSuC2WTnFvH8W+jslzecOSA==" saltValue="mGVo7xec9z9sY2GXII79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1.8333333333333333</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131</v>
      </c>
      <c r="O12" s="549"/>
      <c r="P12" s="549"/>
      <c r="Q12" s="547">
        <f>IF(ISNUMBER(Datos!P12),Datos!P12,0)</f>
        <v>238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853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277</v>
      </c>
      <c r="BD12" s="693">
        <f>IF(ISNUMBER(Datos!N12),Datos!N12," - ")</f>
        <v>385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0.98185291308500477</v>
      </c>
      <c r="BH12" s="764">
        <f>IF(ISNUMBER(((IF(J_V="SI",Datos!L12/Datos!K12,(Datos!L12+Datos!AB12)/(Datos!K12+Datos!AA12)))*11)/factor_trimestre),((IF(J_V="SI",Datos!L12/Datos!K12,(Datos!L12+Datos!AB12)/(Datos!K12+Datos!AA12)))*11)/factor_trimestre," - ")</f>
        <v>5.168287937743191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-4.6927374301675977E-2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131</v>
      </c>
      <c r="O14" s="1199">
        <f t="shared" si="1"/>
        <v>0</v>
      </c>
      <c r="P14" s="1199">
        <f t="shared" si="1"/>
        <v>0</v>
      </c>
      <c r="Q14" s="1198">
        <f t="shared" si="1"/>
        <v>238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280</v>
      </c>
      <c r="AD14" s="1198">
        <f t="shared" si="2"/>
        <v>0</v>
      </c>
      <c r="AE14" s="1198">
        <f t="shared" si="2"/>
        <v>0</v>
      </c>
      <c r="AF14" s="1198">
        <f t="shared" si="2"/>
        <v>0</v>
      </c>
      <c r="AG14" s="1198">
        <f t="shared" si="2"/>
        <v>0</v>
      </c>
      <c r="AH14" s="1198">
        <f t="shared" si="2"/>
        <v>37</v>
      </c>
      <c r="AI14" s="1198">
        <f t="shared" si="2"/>
        <v>0</v>
      </c>
      <c r="AJ14" s="1198">
        <f t="shared" si="2"/>
        <v>0</v>
      </c>
      <c r="AK14" s="1198">
        <f t="shared" si="2"/>
        <v>0</v>
      </c>
      <c r="AL14" s="1198">
        <f t="shared" si="2"/>
        <v>0</v>
      </c>
      <c r="AM14" s="1198">
        <f t="shared" si="2"/>
        <v>853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283</v>
      </c>
      <c r="BD14" s="1198">
        <f t="shared" si="2"/>
        <v>386</v>
      </c>
      <c r="BE14" s="1198">
        <f t="shared" si="2"/>
        <v>0</v>
      </c>
      <c r="BF14" s="1198">
        <f t="shared" si="2"/>
        <v>0</v>
      </c>
      <c r="BG14" s="1198">
        <f>IF(ISNUMBER(Datos!K14/Datos!J14),Datos!K14/Datos!J14," - ")</f>
        <v>0.97939262472885036</v>
      </c>
      <c r="BH14" s="1202">
        <f>IF(ISNUMBER(((Datos!L14/Datos!K14)*11)/factor_trimestre),((Datos!L14/Datos!K14)*11)/factor_trimestre," - ")</f>
        <v>5.4330011074197122</v>
      </c>
      <c r="BI14" s="1198">
        <f>IF(ISNUMBER('Resol  Asuntos'!D14/NºAsuntos!G14),'Resol  Asuntos'!D14/NºAsuntos!G14," - ")</f>
        <v>0.27237728585178056</v>
      </c>
      <c r="BJ14" s="1198" t="str">
        <f>IF(ISNUMBER(Datos!CI14/Datos!CJ14),Datos!CI14/Datos!CJ14," - ")</f>
        <v xml:space="preserve"> - </v>
      </c>
      <c r="BK14" s="1198">
        <f>SUBTOTAL(9,BK8:BK13)</f>
        <v>0</v>
      </c>
      <c r="BL14" s="1198">
        <f>IF(ISNUMBER((I14-AB14+L14)/(F14)),(I14-AB14+L14)/(F14)," - ")</f>
        <v>-2.2000000000000002</v>
      </c>
      <c r="BM14" s="1203">
        <f>SUBTOTAL(9,BM9:BM13)</f>
        <v>-4.6927374301675977E-2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191</v>
      </c>
      <c r="G17" s="743">
        <f>IF(ISNUMBER(IF(D_I="SI",Datos!I17,Datos!I17+Datos!AC17)),IF(D_I="SI",Datos!I17,Datos!I17+Datos!AC17)," - ")</f>
        <v>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627</v>
      </c>
      <c r="AC17" s="240">
        <f>IF(ISNUMBER(Datos!Q17),Datos!Q17," - ")</f>
        <v>27</v>
      </c>
      <c r="AD17" s="374"/>
      <c r="AE17" s="562"/>
      <c r="AF17" s="741">
        <f>IF(ISNUMBER(IF(D_I="SI",Datos!L17,Datos!L17+Datos!AF17)),IF(D_I="SI",Datos!L17,Datos!L17+Datos!AF17)," - ")</f>
        <v>294</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135</v>
      </c>
      <c r="BD17" s="243">
        <f>IF(ISNUMBER(Datos!N17),Datos!N17," - ")</f>
        <v>320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0.85890410958904106</v>
      </c>
      <c r="BH17" s="764">
        <f>IF(ISNUMBER(((IF(D_I="SI",Datos!L17/Datos!K17,(Datos!L17+Datos!AF17)/(Datos!K17+Datos!AE17)))*11)/factor_trimestre),((IF(D_I="SI",Datos!L17/Datos!K17,(Datos!L17+Datos!AF17)/(Datos!K17+Datos!AE17)))*11)/factor_trimestre," - ")</f>
        <v>5.1578947368421053</v>
      </c>
      <c r="BI17" s="266">
        <f>IF(ISNUMBER('Resol  Asuntos'!D17/NºAsuntos!G17),'Resol  Asuntos'!D17/NºAsuntos!G17," - ")</f>
        <v>0.21531100478468901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0.89189189189189189</v>
      </c>
      <c r="BH18" s="764">
        <f>IF(ISNUMBER(((IF(D_I="SI",Datos!L18/Datos!K18,(Datos!L18+Datos!AF18)/(Datos!K18+Datos!AE18)))*11)/factor_trimestre),((IF(D_I="SI",Datos!L18/Datos!K18,(Datos!L18+Datos!AF18)/(Datos!K18+Datos!AE18)))*11)/factor_trimestre," - ")</f>
        <v>10.666666666666668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191</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660</v>
      </c>
      <c r="AC23" s="1198">
        <f t="shared" si="5"/>
        <v>27</v>
      </c>
      <c r="AD23" s="1198">
        <f t="shared" si="5"/>
        <v>0</v>
      </c>
      <c r="AE23" s="1198">
        <f t="shared" si="5"/>
        <v>0</v>
      </c>
      <c r="AF23" s="1198">
        <f t="shared" si="5"/>
        <v>326</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v>
      </c>
      <c r="BD23" s="1198">
        <f t="shared" si="5"/>
        <v>359</v>
      </c>
      <c r="BE23" s="1198">
        <f t="shared" si="5"/>
        <v>0</v>
      </c>
      <c r="BF23" s="1198">
        <f t="shared" si="5"/>
        <v>0</v>
      </c>
      <c r="BG23" s="1198">
        <f>IF(ISNUMBER(Datos!K23/Datos!J23),Datos!K23/Datos!J23," - ")</f>
        <v>0.86049543676662321</v>
      </c>
      <c r="BH23" s="1202">
        <f>IF(ISNUMBER(((Datos!L23/Datos!K23)*11)/factor_trimestre),((Datos!L23/Datos!K23)*11)/factor_trimestre," - ")</f>
        <v>5.4333333333333336</v>
      </c>
      <c r="BI23" s="1198">
        <f>SUBTOTAL(9,BI16:BI22)</f>
        <v>0.21531100478468901</v>
      </c>
      <c r="BJ23" s="1198">
        <f>SUBTOTAL(9,BJ16:BJ22)</f>
        <v>0</v>
      </c>
      <c r="BK23" s="1198">
        <f>SUBTOTAL(9,BK16:BK22)</f>
        <v>0</v>
      </c>
      <c r="BL23" s="1198">
        <f>IF(ISNUMBER((I23-AB23+L23)/(F23)),(I23-AB23+L23)/(F23)," - ")</f>
        <v>-3.4554973821989527</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196</v>
      </c>
      <c r="G31" s="1117">
        <f t="shared" si="18"/>
        <v>224</v>
      </c>
      <c r="H31" s="1119">
        <f t="shared" si="18"/>
        <v>0</v>
      </c>
      <c r="I31" s="1117">
        <f t="shared" si="18"/>
        <v>0</v>
      </c>
      <c r="J31" s="1119">
        <f t="shared" si="18"/>
        <v>0</v>
      </c>
      <c r="K31" s="1119">
        <f t="shared" si="18"/>
        <v>0</v>
      </c>
      <c r="L31" s="1180">
        <f t="shared" si="18"/>
        <v>0</v>
      </c>
      <c r="M31" s="1180">
        <f t="shared" si="18"/>
        <v>0</v>
      </c>
      <c r="N31" s="1180">
        <f t="shared" si="18"/>
        <v>131</v>
      </c>
      <c r="O31" s="1180">
        <f t="shared" si="18"/>
        <v>0</v>
      </c>
      <c r="P31" s="1180">
        <f t="shared" si="18"/>
        <v>0</v>
      </c>
      <c r="Q31" s="1119">
        <f t="shared" si="18"/>
        <v>246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671</v>
      </c>
      <c r="AC31" s="1118">
        <f t="shared" si="19"/>
        <v>307</v>
      </c>
      <c r="AD31" s="1118">
        <f t="shared" si="19"/>
        <v>0</v>
      </c>
      <c r="AE31" s="1118">
        <f t="shared" si="19"/>
        <v>0</v>
      </c>
      <c r="AF31" s="1125">
        <f t="shared" si="19"/>
        <v>326</v>
      </c>
      <c r="AG31" s="1125">
        <f t="shared" si="19"/>
        <v>0</v>
      </c>
      <c r="AH31" s="1125">
        <f t="shared" si="19"/>
        <v>37</v>
      </c>
      <c r="AI31" s="1125">
        <f t="shared" si="19"/>
        <v>0</v>
      </c>
      <c r="AJ31" s="1118">
        <f t="shared" si="19"/>
        <v>0</v>
      </c>
      <c r="AK31" s="1125">
        <f t="shared" si="19"/>
        <v>0</v>
      </c>
      <c r="AL31" s="1125">
        <f t="shared" si="19"/>
        <v>0</v>
      </c>
      <c r="AM31" s="1125">
        <f t="shared" si="19"/>
        <v>872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418</v>
      </c>
      <c r="BD31" s="1117">
        <f t="shared" si="19"/>
        <v>745</v>
      </c>
      <c r="BE31" s="1117">
        <f t="shared" si="19"/>
        <v>0</v>
      </c>
      <c r="BF31" s="1127">
        <f t="shared" si="19"/>
        <v>0</v>
      </c>
      <c r="BG31" s="1223">
        <f>IF(ISNUMBER(Datos!K31/Datos!J31),Datos!K31/Datos!J31," - ")</f>
        <v>0.92539964476021319</v>
      </c>
      <c r="BH31" s="1223">
        <f>IF(ISNUMBER(((Datos!L31/Datos!K31)*11)/factor_trimestre),((Datos!L31/Datos!K31)*11)/factor_trimestre," - ")</f>
        <v>5.4331413947536786</v>
      </c>
      <c r="BI31" s="1103">
        <f>IF(ISNUMBER(Datos!J31/Datos!I31),Datos!J31/Datos!I31," - ")</f>
        <v>2.6145510835913313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-3.4234693877551021</v>
      </c>
      <c r="BM31" s="1188">
        <f>IF(ISNUMBER((Datos!P31-Datos!Q31+R31)/(Datos!R31-Datos!P31+Datos!Q31-R31)),(Datos!P31-Datos!Q31+R31)/(Datos!R31-Datos!P31+Datos!Q31-R31)," - ")</f>
        <v>-6.5380493033226156E-2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97.366660960857985</v>
      </c>
      <c r="G33" s="674">
        <f>IF(ISNUMBER(STDEV(G8:G30)),STDEV(G8:G30),"-")</f>
        <v>97.128780492704635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308.9712577170215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123.0226459989031</v>
      </c>
      <c r="BD33" s="673"/>
      <c r="BE33" s="673">
        <f>IF(ISNUMBER(STDEV(BE8:BE30)),STDEV(BE8:BE30),"-")</f>
        <v>0</v>
      </c>
      <c r="BF33" s="678">
        <f>IF(ISNUMBER(STDEV(BF8:BF30)),STDEV(BF8:BF30),"-")</f>
        <v>0</v>
      </c>
      <c r="BG33" s="1052">
        <f>IF(ISNUMBER(STDEV(BG8:BG30)),STDEV(BG8:BG30),"-")</f>
        <v>0.37915702383260436</v>
      </c>
      <c r="BH33" s="1058">
        <f>IF(ISNUMBER(STDEV(BH8:BH30)),STDEV(BH8:BH30),"-")</f>
        <v>3.3753084709386028</v>
      </c>
      <c r="BI33" s="273">
        <f>IF(ISNUMBER(STDEV(BI8:BI30)),STDEV(BI8:BI30),"-")</f>
        <v>0.12021514196099423</v>
      </c>
      <c r="BJ33" s="244" t="str">
        <f>IF(ISNUMBER(BL33/BM33),BL33/BM33," - ")</f>
        <v xml:space="preserve"> - </v>
      </c>
      <c r="BK33" s="709"/>
      <c r="BL33" s="681">
        <f>IF(ISNUMBER(STDEV(BL8:BL30)),STDEV(BL8:BL30),"-")</f>
        <v>0.88777071271483754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38qyKbO2LQH2KdwOWJkaC4c4x3YGtXPqNXKP8QBx37t3D3NNINbZODU8VY45Zfo1bqlqcopq74LZli/o7sQRMQ==" saltValue="DUiu+hCR1JGR1ARaXS+f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280</v>
      </c>
      <c r="AA12" s="551" t="str">
        <f>IF(ISNUMBER(IF(J_V="SI",Datos!L12,Datos!L12+Datos!AB12)-IF(Monitorios="SI",Datos!CD12,0)),
                          IF(J_V="SI",Datos!L12,Datos!L12+Datos!AB12)-IF(Monitorios="SI",Datos!CD12,0),
                          " - ")</f>
        <v xml:space="preserve"> - </v>
      </c>
      <c r="AB12" s="549"/>
      <c r="AC12" s="549"/>
      <c r="AD12" s="563"/>
      <c r="AE12" s="563">
        <f>IF(ISNUMBER(Datos!R12),Datos!R12," - ")</f>
        <v>853</v>
      </c>
      <c r="AF12" s="693" t="str">
        <f>IF(ISNUMBER(Datos!BV12),Datos!BV12," - ")</f>
        <v xml:space="preserve"> - </v>
      </c>
      <c r="AG12" s="552" t="str">
        <f>IF(ISNUMBER(Datos!DV12),Datos!DV12," - ")</f>
        <v xml:space="preserve"> - </v>
      </c>
      <c r="AH12" s="553"/>
      <c r="AI12" s="554"/>
      <c r="AJ12" s="552">
        <f>IF(ISNUMBER(Datos!M12),Datos!M12," - ")</f>
        <v>277</v>
      </c>
      <c r="AK12" s="693">
        <f>IF(ISNUMBER(Datos!N12),Datos!N12," - ")</f>
        <v>385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5.168287937743191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-4.6927374301675977E-2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280</v>
      </c>
      <c r="AA14" s="1199">
        <f t="shared" si="3"/>
        <v>0</v>
      </c>
      <c r="AB14" s="1199">
        <f t="shared" si="3"/>
        <v>0</v>
      </c>
      <c r="AC14" s="1199">
        <f t="shared" si="3"/>
        <v>0</v>
      </c>
      <c r="AD14" s="1199">
        <f t="shared" si="3"/>
        <v>0</v>
      </c>
      <c r="AE14" s="1199">
        <f t="shared" si="3"/>
        <v>853</v>
      </c>
      <c r="AF14" s="1211">
        <f t="shared" si="3"/>
        <v>0</v>
      </c>
      <c r="AG14" s="1211">
        <f t="shared" si="3"/>
        <v>0</v>
      </c>
      <c r="AH14" s="1211">
        <f t="shared" si="3"/>
        <v>0</v>
      </c>
      <c r="AI14" s="1211">
        <f t="shared" si="3"/>
        <v>0</v>
      </c>
      <c r="AJ14" s="1211">
        <f t="shared" si="3"/>
        <v>283</v>
      </c>
      <c r="AK14" s="1211">
        <f t="shared" si="3"/>
        <v>386</v>
      </c>
      <c r="AL14" s="1211">
        <f t="shared" si="3"/>
        <v>0</v>
      </c>
      <c r="AM14" s="1211">
        <f t="shared" si="3"/>
        <v>0</v>
      </c>
      <c r="AN14" s="1211">
        <f t="shared" si="3"/>
        <v>0</v>
      </c>
      <c r="AO14" s="1203">
        <f>IF(ISNUMBER(((NºAsuntos!I14/NºAsuntos!G14)*11)/factor_trimestre),((NºAsuntos!I14/NºAsuntos!G14)*11)/factor_trimestre," - ")</f>
        <v>5.1135707410972087</v>
      </c>
      <c r="AP14" s="1213" t="str">
        <f>IF(ISNUMBER(Datos!CI14/Datos!CJ14),Datos!CI14/Datos!CJ14," - ")</f>
        <v xml:space="preserve"> - </v>
      </c>
      <c r="AQ14" s="1236">
        <f t="shared" ref="AQ14:AV14" si="4">SUBTOTAL(9,AQ9:AQ13)</f>
        <v>0</v>
      </c>
      <c r="AR14" s="1236">
        <f t="shared" si="4"/>
        <v>-4.6927374301675977E-2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191</v>
      </c>
      <c r="G17" s="552">
        <f>IF(ISNUMBER(IF(D_I="SI",Datos!I17,Datos!I17+Datos!AC17)),IF(D_I="SI",Datos!I17,Datos!I17+Datos!AC17)," - ")</f>
        <v>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627</v>
      </c>
      <c r="Z17" s="805">
        <f>IF(ISNUMBER(Datos!Q17),Datos!Q17," - ")</f>
        <v>27</v>
      </c>
      <c r="AA17" s="551">
        <f>IF(ISNUMBER(IF(D_I="SI",Datos!L17,Datos!L17+Datos!AF17)),IF(D_I="SI",Datos!L17,Datos!L17+Datos!AF17)," - ")</f>
        <v>294</v>
      </c>
      <c r="AB17" s="549"/>
      <c r="AC17" s="549"/>
      <c r="AD17" s="563"/>
      <c r="AE17" s="563">
        <f>IF(ISNUMBER(Datos!R17),Datos!R17," - ")</f>
        <v>19</v>
      </c>
      <c r="AF17" s="693" t="str">
        <f>IF(ISNUMBER(Datos!BV17),Datos!BV17," - ")</f>
        <v xml:space="preserve"> - </v>
      </c>
      <c r="AG17" s="552"/>
      <c r="AH17" s="553"/>
      <c r="AI17" s="554"/>
      <c r="AJ17" s="552">
        <f>IF(ISNUMBER(Datos!M17),Datos!M17," - ")</f>
        <v>135</v>
      </c>
      <c r="AK17" s="693">
        <f>IF(ISNUMBER(Datos!N17),Datos!N17," - ")</f>
        <v>320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5.1578947368421053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10.666666666666668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191</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660</v>
      </c>
      <c r="Z23" s="1240">
        <f t="shared" si="6"/>
        <v>27</v>
      </c>
      <c r="AA23" s="1240">
        <f t="shared" si="6"/>
        <v>326</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135</v>
      </c>
      <c r="AK23" s="1240">
        <f t="shared" si="6"/>
        <v>359</v>
      </c>
      <c r="AL23" s="1240">
        <f t="shared" si="6"/>
        <v>0</v>
      </c>
      <c r="AM23" s="1240">
        <f t="shared" si="6"/>
        <v>0</v>
      </c>
      <c r="AN23" s="1240">
        <f t="shared" si="6"/>
        <v>0</v>
      </c>
      <c r="AO23" s="1242">
        <f>IF(ISNUMBER(((NºAsuntos!I23/NºAsuntos!G23)*11)/factor_trimestre),((NºAsuntos!I23/NºAsuntos!G23)*11)/factor_trimestre," - ")</f>
        <v>5.4333333333333336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196</v>
      </c>
      <c r="G31" s="1117">
        <f t="shared" si="12"/>
        <v>224</v>
      </c>
      <c r="H31" s="1118">
        <f t="shared" si="12"/>
        <v>0</v>
      </c>
      <c r="I31" s="1117">
        <f t="shared" si="12"/>
        <v>0</v>
      </c>
      <c r="J31" s="1119">
        <f t="shared" si="12"/>
        <v>0</v>
      </c>
      <c r="K31" s="1117">
        <f t="shared" si="12"/>
        <v>0</v>
      </c>
      <c r="L31" s="1120">
        <f t="shared" si="12"/>
        <v>0</v>
      </c>
      <c r="M31" s="1117">
        <f t="shared" si="12"/>
        <v>0</v>
      </c>
      <c r="N31" s="1118">
        <f t="shared" si="12"/>
        <v>246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671</v>
      </c>
      <c r="Z31" s="1124">
        <f t="shared" si="13"/>
        <v>307</v>
      </c>
      <c r="AA31" s="1125">
        <f t="shared" si="13"/>
        <v>326</v>
      </c>
      <c r="AB31" s="1125">
        <f t="shared" si="13"/>
        <v>0</v>
      </c>
      <c r="AC31" s="1125">
        <f t="shared" si="13"/>
        <v>0</v>
      </c>
      <c r="AD31" s="1126">
        <f t="shared" si="13"/>
        <v>0</v>
      </c>
      <c r="AE31" s="1126">
        <f t="shared" si="13"/>
        <v>872</v>
      </c>
      <c r="AF31" s="1127">
        <f t="shared" si="13"/>
        <v>0</v>
      </c>
      <c r="AG31" s="1128">
        <f t="shared" si="13"/>
        <v>0</v>
      </c>
      <c r="AH31" s="1129">
        <f t="shared" si="13"/>
        <v>0</v>
      </c>
      <c r="AI31" s="1127">
        <f t="shared" si="13"/>
        <v>0</v>
      </c>
      <c r="AJ31" s="1117">
        <f t="shared" si="13"/>
        <v>418</v>
      </c>
      <c r="AK31" s="1117">
        <f t="shared" si="13"/>
        <v>745</v>
      </c>
      <c r="AL31" s="1117">
        <f t="shared" si="13"/>
        <v>0</v>
      </c>
      <c r="AM31" s="1130">
        <f t="shared" si="13"/>
        <v>0</v>
      </c>
      <c r="AN31" s="1120">
        <f>IF(ISNUMBER(Datos!K31/Datos!J31),Datos!K31/Datos!J31," - ")</f>
        <v>0.92539964476021319</v>
      </c>
      <c r="AO31" s="1120">
        <f>IF(ISNUMBER(FIND("06",Criterios!A8,1)),(IF(ISNUMBER(((Datos!R31/Datos!Q31)*11)/factor_trimestre),((Datos!R31/Datos!Q31)*11)/factor_trimestre," - ")),(IF(ISNUMBER(((Datos!L31/Datos!K31)*11)/factor_trimestre),((Datos!L31/Datos!K31)*11)/factor_trimestre," - ")))</f>
        <v>5.4331413947536786</v>
      </c>
      <c r="AP31" s="1131" t="str">
        <f>IF(ISNUMBER(Datos!CI31/Datos!CJ31),Datos!CI31/Datos!CJ31," - ")</f>
        <v xml:space="preserve"> - </v>
      </c>
      <c r="AQ31" s="1131">
        <f>IF(OR(ISNUMBER(FIND("01",Criterios!A8,1)),ISNUMBER(FIND("02",Criterios!A8,1)),ISNUMBER(FIND("03",Criterios!A8,1)),ISNUMBER(FIND("04",Criterios!A8,1))),(J31-Y31+K31)/(F31-K31),(I31-Y31+K31)/(F31-K31))</f>
        <v>-3.4234693877551021</v>
      </c>
      <c r="AR31" s="1131">
        <f>IF(ISNUMBER((Datos!P31-Datos!Q31+O31)/(Datos!R31-Datos!P31+Datos!Q31-O31)),(Datos!P31-Datos!Q31+O31)/(Datos!R31-Datos!P31+Datos!Q31-O31)," - ")</f>
        <v>-6.5380493033226156E-2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97.366660960857985</v>
      </c>
      <c r="G33" s="674">
        <f>IF(ISNUMBER(STDEV(G8:G30)),STDEV(G8:G30),"-")</f>
        <v>97.128780492704635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123.0226459989031</v>
      </c>
      <c r="AK33" s="276"/>
      <c r="AL33" s="276">
        <f>IF(ISNUMBER(STDEV(AL8:AL30)),STDEV(AL8:AL30),"-")</f>
        <v>0</v>
      </c>
      <c r="AM33" s="278">
        <f>IF(ISNUMBER(STDEV(AM8:AM30)),STDEV(AM8:AM30),"-")</f>
        <v>0</v>
      </c>
      <c r="AN33" s="660">
        <f>IF(ISNUMBER(STDEV(AN8:AN30)),STDEV(AN8:AN30),"-")</f>
        <v>0</v>
      </c>
      <c r="AO33" s="661">
        <f>IF(ISNUMBER(STDEV(AO8:AO30)),STDEV(AO8:AO30),"-")</f>
        <v>3.3754969614320065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ZtrJ+tsBcxk3QQXy0z8WZXoBpru1Q4gu8Eghswgz920X64v02YdbQ+2csYWbusGarznqU79Ra4uMqWhPLeQWg==" saltValue="lPcs+ddwFuwqMTj0doHy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o6eDh1tikDiN9I8QHF+271edRbcaxttvbceUk7WqREfFJAKx3QAEheENS/HynMM0tlpzOTvU6ncjT/yMC+Rpw==" saltValue="7QVwCkFWiYZO4TmTZFHp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zodZOFTtCxJKdAczdBT5mGkkl6rHiu4WawpIYYTHjLReWfF1t3xX6bLo2dwsfkq0KGRBlZnTjKyTToUxEdXg==" saltValue="t1+ijXbns60qZaGHoale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0.27237728585178056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0.19259982586698071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qNLB/7xIHvtsnHcwK4FWmY+RxZhgPF8iPbqhsC6TBQqh1kc0I/8B45cjr+FElFN12bCrTd4ydmqBphoKrsHNQ==" saltValue="L1nJU4gND3mjyn5faxmm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iEcOi0Zu40gspyIdRJMjMQqEAMFj8piPVtcT4Wn7JLR3yEJgSEtadl3MJbeByaMrCRz0Q1hHkXgfSbcnkpvg==" saltValue="o0fO2M7phQbDJb1ZokNB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VILALBA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6</v>
      </c>
      <c r="F10" s="452">
        <f>IF(ISNUMBER(E10/B10),E10/B10," - ")</f>
        <v>6</v>
      </c>
      <c r="G10" s="451">
        <f>IF(ISNUMBER(Datos!K10),Datos!K10," - ")</f>
        <v>11</v>
      </c>
      <c r="H10" s="452">
        <f>IF(ISNUMBER(G10/B10),G10/B10," - ")</f>
        <v>11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464</v>
      </c>
      <c r="D12" s="452">
        <f>IF(ISNUMBER(C12/Datos!BH12),C12/Datos!BH12," - ")</f>
        <v>232</v>
      </c>
      <c r="E12" s="451">
        <f>IF(ISNUMBER(IF(J_V="SI",Datos!J12,Datos!J12+Datos!Z12)),IF(J_V="SI",Datos!J12,Datos!J12+Datos!Z12)," - ")</f>
        <v>1047</v>
      </c>
      <c r="F12" s="452">
        <f>IF(ISNUMBER(E12/B12),E12/B12," - ")</f>
        <v>523.5</v>
      </c>
      <c r="G12" s="451">
        <f>IF(ISNUMBER(IF(J_V="SI",Datos!K12,Datos!K12+Datos!AA12)),IF(J_V="SI",Datos!K12,Datos!K12+Datos!AA12)," - ")</f>
        <v>1028</v>
      </c>
      <c r="H12" s="452">
        <f>IF(ISNUMBER(G12/B12),G12/B12," - ")</f>
        <v>514</v>
      </c>
      <c r="I12" s="451">
        <f>IF(ISNUMBER(IF(J_V="SI",Datos!L12,Datos!L12+Datos!AB12)),IF(J_V="SI",Datos!L12,Datos!L12+Datos!AB12)," - ")</f>
        <v>483</v>
      </c>
      <c r="J12" s="452">
        <f>IF(ISNUMBER(I12/B12),I12/B12," - ")</f>
        <v>241.5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469</v>
      </c>
      <c r="D14" s="1147" t="str">
        <f>IF(ISNUMBER(C14/Datos!BI14),C14/Datos!BI14," - ")</f>
        <v xml:space="preserve"> - </v>
      </c>
      <c r="E14" s="1146">
        <f>SUBTOTAL(9,E8:E13)</f>
        <v>1053</v>
      </c>
      <c r="F14" s="1147">
        <f>IF(ISNUMBER(E14/B14),E14/B14," - ")</f>
        <v>526.5</v>
      </c>
      <c r="G14" s="1146">
        <f>SUBTOTAL(9,G8:G13)</f>
        <v>1039</v>
      </c>
      <c r="H14" s="1147">
        <f>IF(ISNUMBER(G14/B14),G14/B14," - ")</f>
        <v>519.5</v>
      </c>
      <c r="I14" s="1146">
        <f>SUBTOTAL(9,I8:I13)</f>
        <v>483</v>
      </c>
      <c r="J14" s="1147">
        <f>IF(ISNUMBER(I14/B14),I14/B14," - ")</f>
        <v>241.5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191</v>
      </c>
      <c r="D17" s="452">
        <f>IF(ISNUMBER(C17/Datos!BH17),C17/Datos!BH17," - ")</f>
        <v>95.5</v>
      </c>
      <c r="E17" s="451">
        <f>IF(ISNUMBER(IF(D_I="SI",Datos!J17,Datos!J17+Datos!AD17)),IF(D_I="SI",Datos!J17,Datos!J17+Datos!AD17)," - ")</f>
        <v>730</v>
      </c>
      <c r="F17" s="452">
        <f>IF(ISNUMBER(E17/B17),E17/B17," - ")</f>
        <v>365</v>
      </c>
      <c r="G17" s="451">
        <f>IF(ISNUMBER(IF(D_I="SI",Datos!K17,Datos!K17+Datos!AE17)),IF(D_I="SI",Datos!K17,Datos!K17+Datos!AE17)," - ")</f>
        <v>627</v>
      </c>
      <c r="H17" s="452">
        <f>IF(ISNUMBER(G17/B17),G17/B17," - ")</f>
        <v>313.5</v>
      </c>
      <c r="I17" s="451">
        <f>IF(ISNUMBER(IF(D_I="SI",Datos!L17,Datos!L17+Datos!AF17)),IF(D_I="SI",Datos!L17,Datos!L17+Datos!AF17)," - ")</f>
        <v>294</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37</v>
      </c>
      <c r="F18" s="452">
        <f>IF(ISNUMBER(E18/B18),E18/B18," - ")</f>
        <v>37</v>
      </c>
      <c r="G18" s="451">
        <f>IF(ISNUMBER(IF(D_I="SI",Datos!K18,Datos!K18+Datos!AE18)),IF(D_I="SI",Datos!K18,Datos!K18+Datos!AE18)," - ")</f>
        <v>33</v>
      </c>
      <c r="H18" s="452">
        <f>IF(ISNUMBER(G18/B18),G18/B18," - ")</f>
        <v>33</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219</v>
      </c>
      <c r="D23" s="1147" t="str">
        <f>IF(ISNUMBER(C23/Datos!BI23),C23/Datos!BI23," - ")</f>
        <v xml:space="preserve"> - </v>
      </c>
      <c r="E23" s="1146">
        <f>SUBTOTAL(9,E15:E22)</f>
        <v>767</v>
      </c>
      <c r="F23" s="1147">
        <f>IF(ISNUMBER(E23/B23),E23/B23," - ")</f>
        <v>383.5</v>
      </c>
      <c r="G23" s="1146">
        <f>SUBTOTAL(9,G15:G22)</f>
        <v>660</v>
      </c>
      <c r="H23" s="1147">
        <f>IF(ISNUMBER(G23/B23),G23/B23," - ")</f>
        <v>330</v>
      </c>
      <c r="I23" s="1146">
        <f>SUBTOTAL(9,I15:I22)</f>
        <v>326</v>
      </c>
      <c r="J23" s="1147">
        <f>IF(ISNUMBER(I23/B23),I23/B23," - ")</f>
        <v>163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688</v>
      </c>
      <c r="D31" s="1085" t="str">
        <f>IF(ISNUMBER(C31/Datos!BI31),C31/Datos!BI31," - ")</f>
        <v xml:space="preserve"> - </v>
      </c>
      <c r="E31" s="1084">
        <f>SUBTOTAL(9,E9:E30)</f>
        <v>1820</v>
      </c>
      <c r="F31" s="1085">
        <f>IF(ISNUMBER(E31/B31),E31/B31," - ")</f>
        <v>910</v>
      </c>
      <c r="G31" s="1084">
        <f>SUBTOTAL(9,G9:G30)</f>
        <v>1699</v>
      </c>
      <c r="H31" s="1085">
        <f>IF(ISNUMBER(G31/B31),G31/B31," - ")</f>
        <v>849.5</v>
      </c>
      <c r="I31" s="1084">
        <f>SUBTOTAL(9,I9:I30)</f>
        <v>809</v>
      </c>
      <c r="J31" s="1085">
        <f>IF(ISNUMBER(I31/B31),I31/B31," - ")</f>
        <v>404.5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2nab4pc39CCP/TK0U9DwXJ731pkNk0S/ecENffELxqkh3lCGwvSA4TiPxdac+2jfRgEv6FBBs0ZZcRBwSc2CmA==" saltValue="SXeVXWoLP+7CEk1o9Tdm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277</v>
      </c>
      <c r="AM12" s="914">
        <f>IF(ISNUMBER(Datos!N12+DatosP!N17),Datos!N12+DatosP!N17," - ")</f>
        <v>385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5.168287937743191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-4.6927374301675977E-2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280</v>
      </c>
      <c r="AE14" s="1257">
        <f t="shared" si="1"/>
        <v>0</v>
      </c>
      <c r="AF14" s="1257">
        <f t="shared" si="1"/>
        <v>0</v>
      </c>
      <c r="AG14" s="1257">
        <f t="shared" si="1"/>
        <v>0</v>
      </c>
      <c r="AH14" s="1257">
        <f t="shared" si="1"/>
        <v>853</v>
      </c>
      <c r="AI14" s="1257">
        <f t="shared" si="1"/>
        <v>0</v>
      </c>
      <c r="AJ14" s="1257">
        <f t="shared" si="1"/>
        <v>0</v>
      </c>
      <c r="AK14" s="1257">
        <f t="shared" si="1"/>
        <v>0</v>
      </c>
      <c r="AL14" s="1257">
        <f t="shared" si="1"/>
        <v>283</v>
      </c>
      <c r="AM14" s="1257">
        <f t="shared" si="1"/>
        <v>386</v>
      </c>
      <c r="AN14" s="1257">
        <f t="shared" si="1"/>
        <v>0</v>
      </c>
      <c r="AO14" s="1257">
        <f t="shared" si="1"/>
        <v>0</v>
      </c>
      <c r="AP14" s="1262">
        <f>IF(ISNUMBER(((Datos!L14/Datos!K14)*11)/factor_trimestre),((Datos!L14/Datos!K14)*11)/factor_trimestre," - ")</f>
        <v>5.4330011074197122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-2.2000000000000002</v>
      </c>
      <c r="AU14" s="1257" t="str">
        <f>IF(ISNUMBER((DatosP!#REF!-DatosP!#REF!+DatosP!#REF!)/(DatosP!#REF!+DatosP!#REF!-DatosP!#REF!-DatosP!#REF!)),(DatosP!#REF!-DatosP!#REF!+DatosP!#REF!)/(DatosP!#REF!+DatosP!#REF!-DatosP!#REF!-DatosP!#REF!)," - ")</f>
        <v xml:space="preserve"> - </v>
      </c>
      <c r="AV14" s="1263">
        <f>SUBTOTAL(9,AV9:AV13)</f>
        <v>-4.6927374301675977E-2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5.4333333333333336</v>
      </c>
      <c r="AQ23" s="1262">
        <f>IF(ISNUMBER(((Datos!M23/Datos!L23)*11)/factor_trimestre),((Datos!M23/Datos!L23)*11)/factor_trimestre," - ")</f>
        <v>4.5552147239263805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2.4844720496894408E-2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280</v>
      </c>
      <c r="AE31" s="1284">
        <f t="shared" si="9"/>
        <v>0</v>
      </c>
      <c r="AF31" s="1285">
        <f t="shared" si="9"/>
        <v>0</v>
      </c>
      <c r="AG31" s="1285">
        <f t="shared" si="9"/>
        <v>0</v>
      </c>
      <c r="AH31" s="1285">
        <f t="shared" si="9"/>
        <v>853</v>
      </c>
      <c r="AI31" s="1285">
        <f t="shared" si="9"/>
        <v>0</v>
      </c>
      <c r="AJ31" s="1286">
        <f t="shared" si="9"/>
        <v>0</v>
      </c>
      <c r="AK31" s="1286">
        <f t="shared" si="9"/>
        <v>0</v>
      </c>
      <c r="AL31" s="1278">
        <f t="shared" si="9"/>
        <v>283</v>
      </c>
      <c r="AM31" s="1278">
        <f t="shared" si="9"/>
        <v>386</v>
      </c>
      <c r="AN31" s="1278">
        <f t="shared" si="9"/>
        <v>0</v>
      </c>
      <c r="AO31" s="1278">
        <f t="shared" si="9"/>
        <v>0</v>
      </c>
      <c r="AP31" s="1278">
        <f>IF(ISNUMBER(((Datos!L31/Datos!K31)*11)/factor_trimestre),((Datos!L31/Datos!K31)*11)/factor_trimestre," - ")</f>
        <v>5.4331413947536786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-2.2000000000000002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-6.5380493033226156E-2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143.84806799768521</v>
      </c>
      <c r="AM33" s="1006"/>
      <c r="AN33" s="1006">
        <f>IF(ISNUMBER(STDEV(AN8:AN30)),STDEV(AN8:AN30),"-")</f>
        <v>0</v>
      </c>
      <c r="AO33" s="1012">
        <f>IF(ISNUMBER(STDEV(AO8:AO30)),STDEV(AO8:AO30),"-")</f>
        <v>0</v>
      </c>
      <c r="AP33" s="1065">
        <f>IF(ISNUMBER(STDEV(AP8:AP30)),STDEV(AP8:AP30),"-")</f>
        <v>2.6753525404149148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5xbBJcDuNKIs4Bs1WFJA7FGwfD5hzBpvUyOCPCMmIpfuPyb6mu+JAluNq32sNPRKeeOQlpm8viuAhjJsnYmQQ==" saltValue="5U8ocd8i1i+9q2HUhhuY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cktOjrFnPoWt6ovUo3b5ASqDo6ngliq5kvv88PlBuiGQqEJeu+DgQ2Ktoyq/DZfnWASMyQN6yb4MrR6EltRtQ==" saltValue="/G2qL7y+2Xx0oc+Sfq3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VILALBA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277</v>
      </c>
      <c r="E12" s="452">
        <f t="shared" si="0"/>
        <v>138.5</v>
      </c>
      <c r="F12" s="451">
        <f>IF(ISNUMBER(Datos!N12),Datos!N12," - ")</f>
        <v>385</v>
      </c>
      <c r="G12" s="452">
        <f t="shared" si="1"/>
        <v>192.5</v>
      </c>
      <c r="H12" s="451">
        <f>IF(ISNUMBER(Datos!O12),Datos!O12," - ")</f>
        <v>413</v>
      </c>
      <c r="I12" s="452">
        <f t="shared" si="2"/>
        <v>206.5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283</v>
      </c>
      <c r="E14" s="1147">
        <f t="shared" si="0"/>
        <v>94.333333333333329</v>
      </c>
      <c r="F14" s="1146">
        <f>SUBTOTAL(9,F9:F13)</f>
        <v>386</v>
      </c>
      <c r="G14" s="1147">
        <f t="shared" si="1"/>
        <v>128.66666666666666</v>
      </c>
      <c r="H14" s="1146">
        <f>SUBTOTAL(9,H9:H13)</f>
        <v>413</v>
      </c>
      <c r="I14" s="1147">
        <f>IF(ISNUMBER(H14/B14),H14/B14," - ")</f>
        <v>137.66666666666666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135</v>
      </c>
      <c r="E17" s="452">
        <f t="shared" si="3"/>
        <v>67.5</v>
      </c>
      <c r="F17" s="451">
        <f>IF(ISNUMBER(Datos!N17),Datos!N17," - ")</f>
        <v>320</v>
      </c>
      <c r="G17" s="452">
        <f t="shared" si="4"/>
        <v>160</v>
      </c>
      <c r="H17" s="451">
        <f>IF(ISNUMBER(Datos!O17),Datos!O17," - ")</f>
        <v>11</v>
      </c>
      <c r="I17" s="452">
        <f t="shared" si="5"/>
        <v>5.5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135</v>
      </c>
      <c r="E23" s="1147">
        <f t="shared" si="3"/>
        <v>45</v>
      </c>
      <c r="F23" s="1146">
        <f>SUBTOTAL(9,F16:F22)</f>
        <v>359</v>
      </c>
      <c r="G23" s="1147">
        <f t="shared" si="4"/>
        <v>119.66666666666667</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418</v>
      </c>
      <c r="E31" s="1085">
        <f>IF(ISNUMBER(D31/B31),D31/B31," - ")</f>
        <v>209</v>
      </c>
      <c r="F31" s="1084">
        <f>SUBTOTAL(9,F8:F30)</f>
        <v>745</v>
      </c>
      <c r="G31" s="1085">
        <f>IF(ISNUMBER(F31/B31),F31/B31," - ")</f>
        <v>372.5</v>
      </c>
      <c r="H31" s="1084">
        <f>SUBTOTAL(9,H8:H30)</f>
        <v>424</v>
      </c>
      <c r="I31" s="1085">
        <f>IF(ISNUMBER(H31/B31),H31/B31," - ")</f>
        <v>212</v>
      </c>
    </row>
    <row r="34" spans="1:1">
      <c r="A34" s="439" t="str">
        <f>Criterios!A4</f>
        <v>Fecha Informe: 14 abr. 2023</v>
      </c>
    </row>
    <row r="39" spans="1:1">
      <c r="A39" s="462"/>
    </row>
  </sheetData>
  <sheetProtection algorithmName="SHA-512" hashValue="ZiL0ov4VMx32viuhV7MSvxSoqTS+1mJRJcLZ0h6vkJcVKn5eLjGyHWGqsotRLg1ECCTxncbJr6gj6MkJX11+TQ==" saltValue="hefKtPE3pOnbfRpTI/iK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VILALBA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238</v>
      </c>
      <c r="C12" s="489">
        <f>IF(ISNUMBER(Datos!Q12),Datos!Q12," - ")</f>
        <v>280</v>
      </c>
      <c r="D12" s="456">
        <f>IF(ISNUMBER(Datos!R12),Datos!R12," - ")</f>
        <v>853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238</v>
      </c>
      <c r="C14" s="1150">
        <f>SUBTOTAL(9,C9:C13)</f>
        <v>280</v>
      </c>
      <c r="D14" s="1148">
        <f>SUBTOTAL(9,D9:D13)</f>
        <v>853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27</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27</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246</v>
      </c>
      <c r="C31" s="1089">
        <f>SUBTOTAL(9,C8:C30)</f>
        <v>307</v>
      </c>
      <c r="D31" s="1090">
        <f>SUBTOTAL(9,D8:D30)</f>
        <v>872</v>
      </c>
    </row>
    <row r="32" spans="1:4" ht="7.5" customHeight="1"/>
    <row r="33" spans="1:1" ht="6" customHeight="1"/>
    <row r="34" spans="1:1">
      <c r="A34" s="439" t="str">
        <f>Criterios!A4</f>
        <v>Fecha Informe: 14 abr. 2023</v>
      </c>
    </row>
    <row r="39" spans="1:1">
      <c r="A39" s="462"/>
    </row>
  </sheetData>
  <sheetProtection algorithmName="SHA-512" hashValue="YiHoZEJYDPY14WrpHfkSlUfIyLT4GhnrOovHG95hExkZB7M4ryucJ23xDGODuYnPnpzjO7jVBnMEySsKAiAIhg==" saltValue="L1XhEYmQfT57j/krGaxs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VILALBA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0.5714285714285714</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0.57142857142857129</v>
      </c>
      <c r="I10" s="515">
        <f>IF(ISNUMBER(((NºAsuntos!I10/NºAsuntos!G10)-Datos!BE10)/Datos!BE10),((NºAsuntos!I10/NºAsuntos!G10)-Datos!BE10)/Datos!BE10," - ")</f>
        <v>-1</v>
      </c>
      <c r="J10" s="521">
        <f>IF(ISNUMBER((('Resol  Asuntos'!D10/NºAsuntos!G10)-Datos!BF10)/Datos!BF10),(('Resol  Asuntos'!D10/NºAsuntos!G10)-Datos!BF10)/Datos!BF10," - ")</f>
        <v>0.27272727272727271</v>
      </c>
      <c r="K10" s="522">
        <f>IF(ISNUMBER((((NºAsuntos!C10+NºAsuntos!E10)/NºAsuntos!G10)-Datos!BG10)/Datos!BG10),(((NºAsuntos!C10+NºAsuntos!E10)/NºAsuntos!G10)-Datos!BG10)/Datos!BG10," - ")</f>
        <v>-0.41666666666666663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-8.5470085470085479E-3</v>
      </c>
      <c r="C12" s="515">
        <f>IF(ISNUMBER(
   IF(J_V="SI",(Datos!J12-Datos!T12)/Datos!T12,(Datos!J12+Datos!Z12-(Datos!T12+Datos!AH12))/(Datos!T12+Datos!AH12))
     ),IF(J_V="SI",(Datos!J12-Datos!T12)/Datos!T12,(Datos!J12+Datos!Z12-(Datos!T12+Datos!AH12))/(Datos!T12+Datos!AH12))," - ")</f>
        <v>-1.1331444759206799E-2</v>
      </c>
      <c r="D12" s="515">
        <f>IF(ISNUMBER(
   IF(J_V="SI",(Datos!K12-Datos!U12)/Datos!U12,(Datos!K12+Datos!AA12-(Datos!U12+Datos!AI12))/(Datos!U12+Datos!AI12))
     ),IF(J_V="SI",(Datos!K12-Datos!U12)/Datos!U12,(Datos!K12+Datos!AA12-(Datos!U12+Datos!AI12))/(Datos!U12+Datos!AI12))," - ")</f>
        <v>-3.2925682031984947E-2</v>
      </c>
      <c r="E12" s="515">
        <f>IF(ISNUMBER(
   IF(J_V="SI",(Datos!L12-Datos!V12)/Datos!V12,(Datos!L12+Datos!AB12-(Datos!V12+Datos!AJ12))/(Datos!V12+Datos!AJ12))
     ),IF(J_V="SI",(Datos!L12-Datos!V12)/Datos!V12,(Datos!L12+Datos!AB12-(Datos!V12+Datos!AJ12))/(Datos!V12+Datos!AJ12))," - ")</f>
        <v>4.0948275862068964E-2</v>
      </c>
      <c r="F12" s="515">
        <f>IF(ISNUMBER((Datos!M12-Datos!W12)/Datos!W12),(Datos!M12-Datos!W12)/Datos!W12," - ")</f>
        <v>2.5925925925925925E-2</v>
      </c>
      <c r="G12" s="516">
        <f>IF(ISNUMBER((Datos!N12-Datos!X12)/Datos!X12),(Datos!N12-Datos!X12)/Datos!X12," - ")</f>
        <v>-2.2842639593908629E-2</v>
      </c>
      <c r="H12" s="514">
        <f>IF(ISNUMBER(((NºAsuntos!G12/NºAsuntos!E12)-Datos!BD12)/Datos!BD12),((NºAsuntos!G12/NºAsuntos!E12)-Datos!BD12)/Datos!BD12," - ")</f>
        <v>-2.1841735694242578E-2</v>
      </c>
      <c r="I12" s="515">
        <f>IF(ISNUMBER(((NºAsuntos!I12/NºAsuntos!G12)-Datos!BE12)/Datos!BE12),((NºAsuntos!I12/NºAsuntos!G12)-Datos!BE12)/Datos!BE12," - ")</f>
        <v>7.6389121830135534E-2</v>
      </c>
      <c r="J12" s="521">
        <f>IF(ISNUMBER((('Resol  Asuntos'!D12/NºAsuntos!G12)-Datos!BF12)/Datos!BF12),(('Resol  Asuntos'!D12/NºAsuntos!G12)-Datos!BF12)/Datos!BF12," - ")</f>
        <v>-0.27301793438543126</v>
      </c>
      <c r="K12" s="522">
        <f>IF(ISNUMBER((((NºAsuntos!C12+NºAsuntos!E12)/NºAsuntos!G12)-Datos!BG12)/Datos!BG12),(((NºAsuntos!C12+NºAsuntos!E12)/NºAsuntos!G12)-Datos!BG12)/Datos!BG12," - ")</f>
        <v>2.321188770738896E-2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-1.0548523206751054E-2</v>
      </c>
      <c r="C14" s="1152">
        <f>IF(ISNUMBER(
   IF(J_V="SI",(Datos!J14-Datos!T14)/Datos!T14,(Datos!J14+Datos!Z14-(Datos!T14+Datos!AH14))/(Datos!T14+Datos!AH14))
     ),IF(J_V="SI",(Datos!J14-Datos!T14)/Datos!T14,(Datos!J14+Datos!Z14-(Datos!T14+Datos!AH14))/(Datos!T14+Datos!AH14))," - ")</f>
        <v>-1.1267605633802818E-2</v>
      </c>
      <c r="D14" s="1152">
        <f>IF(ISNUMBER(
   IF(J_V="SI",(Datos!K14-Datos!U14)/Datos!U14,(Datos!K14+Datos!AA14-(Datos!U14+Datos!AI14))/(Datos!U14+Datos!AI14))
     ),IF(J_V="SI",(Datos!K14-Datos!U14)/Datos!U14,(Datos!K14+Datos!AA14-(Datos!U14+Datos!AI14))/(Datos!U14+Datos!AI14))," - ")</f>
        <v>-2.897196261682243E-2</v>
      </c>
      <c r="E14" s="1152">
        <f>IF(ISNUMBER(
   IF(J_V="SI",(Datos!L14-Datos!V14)/Datos!V14,(Datos!L14+Datos!AB14-(Datos!V14+Datos!AJ14))/(Datos!V14+Datos!AJ14))
     ),IF(J_V="SI",(Datos!L14-Datos!V14)/Datos!V14,(Datos!L14+Datos!AB14-(Datos!V14+Datos!AJ14))/(Datos!V14+Datos!AJ14))," - ")</f>
        <v>2.9850746268656716E-2</v>
      </c>
      <c r="F14" s="1153">
        <f>IF(ISNUMBER((Datos!M14-Datos!W14)/Datos!W14),(Datos!M14-Datos!W14)/Datos!W14," - ")</f>
        <v>3.6630036630036632E-2</v>
      </c>
      <c r="G14" s="1154">
        <f>IF(ISNUMBER((Datos!N14-Datos!X14)/Datos!X14),(Datos!N14-Datos!X14)/Datos!X14," - ")</f>
        <v>-2.030456852791878E-2</v>
      </c>
      <c r="H14" s="1154">
        <f>IF(ISNUMBER(((NºAsuntos!G14/NºAsuntos!E14)-Datos!BD14)/Datos!BD14),((NºAsuntos!G14/NºAsuntos!E14)-Datos!BD14)/Datos!BD14," - ")</f>
        <v>-1.790611603695719E-2</v>
      </c>
      <c r="I14" s="1154">
        <f>IF(ISNUMBER(((NºAsuntos!I14/NºAsuntos!G14)-Datos!BE14)/Datos!BE14),((NºAsuntos!I14/NºAsuntos!G14)-Datos!BE14)/Datos!BE14," - ")</f>
        <v>6.057776564722115E-2</v>
      </c>
      <c r="J14" s="1154">
        <f>IF(ISNUMBER((('Resol  Asuntos'!D14/NºAsuntos!G14)-Datos!BF14)/Datos!BF14),(('Resol  Asuntos'!D14/NºAsuntos!G14)-Datos!BF14)/Datos!BF14," - ")</f>
        <v>-0.2658848970745461</v>
      </c>
      <c r="K14" s="1154">
        <f>IF(ISNUMBER((((NºAsuntos!C14+NºAsuntos!E14)/NºAsuntos!G14)-Datos!BG14)/Datos!BG14),(((NºAsuntos!C14+NºAsuntos!E14)/NºAsuntos!G14)-Datos!BG14)/Datos!BG14," - ")</f>
        <v>1.8460670622837374E-2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-0.36544850498338871</v>
      </c>
      <c r="C17" s="515">
        <f>IF(ISNUMBER(
   IF(D_I="SI",(Datos!J17-Datos!T17)/Datos!T17,(Datos!J17+Datos!AD17-(Datos!T17+Datos!AL17))/(Datos!T17+Datos!AL17))
     ),IF(D_I="SI",(Datos!J17-Datos!T17)/Datos!T17,(Datos!J17+Datos!AD17-(Datos!T17+Datos!AL17))/(Datos!T17+Datos!AL17))," - ")</f>
        <v>-0.13404507710557534</v>
      </c>
      <c r="D17" s="515">
        <f>IF(ISNUMBER(
   IF(D_I="SI",(Datos!K17-Datos!U17)/Datos!U17,(Datos!K17+Datos!AE17-(Datos!U17+Datos!AM17))/(Datos!U17+Datos!AM17))
     ),IF(D_I="SI",(Datos!K17-Datos!U17)/Datos!U17,(Datos!K17+Datos!AE17-(Datos!U17+Datos!AM17))/(Datos!U17+Datos!AM17))," - ")</f>
        <v>-0.31699346405228757</v>
      </c>
      <c r="E17" s="515">
        <f>IF(ISNUMBER(
   IF(D_I="SI",(Datos!L17-Datos!V17)/Datos!V17,(Datos!L17+Datos!AF17-(Datos!V17+Datos!AN17))/(Datos!V17+Datos!AN17))
     ),IF(D_I="SI",(Datos!L17-Datos!V17)/Datos!V17,(Datos!L17+Datos!AF17-(Datos!V17+Datos!AN17))/(Datos!V17+Datos!AN17))," - ")</f>
        <v>0.53926701570680624</v>
      </c>
      <c r="F17" s="515">
        <f>IF(ISNUMBER((Datos!M17-Datos!W17)/Datos!W17),(Datos!M17-Datos!W17)/Datos!W17," - ")</f>
        <v>0</v>
      </c>
      <c r="G17" s="516">
        <f>IF(ISNUMBER((Datos!N17-Datos!X17)/Datos!X17),(Datos!N17-Datos!X17)/Datos!X17," - ")</f>
        <v>-0.29046563192904656</v>
      </c>
      <c r="H17" s="514">
        <f>IF(ISNUMBER(((NºAsuntos!G17/NºAsuntos!E17)-Datos!BD17)/Datos!BD17),((NºAsuntos!G17/NºAsuntos!E17)-Datos!BD17)/Datos!BD17," - ")</f>
        <v>-0.21126779478914859</v>
      </c>
      <c r="I17" s="515">
        <f>IF(ISNUMBER(((NºAsuntos!I17/NºAsuntos!G17)-Datos!BE17)/Datos!BE17),((NºAsuntos!I17/NºAsuntos!G17)-Datos!BE17)/Datos!BE17," - ")</f>
        <v>1.2536636689295826</v>
      </c>
      <c r="J17" s="521">
        <f>IF(ISNUMBER((('Resol  Asuntos'!D17/NºAsuntos!G17)-Datos!BF17)/Datos!BF17),(('Resol  Asuntos'!D17/NºAsuntos!G17)-Datos!BF17)/Datos!BF17," - ")</f>
        <v>0.4641148325358852</v>
      </c>
      <c r="K17" s="522">
        <f>IF(ISNUMBER((((NºAsuntos!C17+NºAsuntos!E17)/NºAsuntos!G17)-Datos!BG17)/Datos!BG17),(((NºAsuntos!C17+NºAsuntos!E17)/NºAsuntos!G17)-Datos!BG17)/Datos!BG17," - ")</f>
        <v>0.17871482584401235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-3.4482758620689655E-2</v>
      </c>
      <c r="C18" s="515">
        <f>IF(ISNUMBER(
   IF(D_I="SI",(Datos!J18-Datos!T18)/Datos!T18,(Datos!J18+Datos!AD18-(Datos!T18+Datos!AL18))/(Datos!T18+Datos!AL18))
     ),IF(D_I="SI",(Datos!J18-Datos!T18)/Datos!T18,(Datos!J18+Datos!AD18-(Datos!T18+Datos!AL18))/(Datos!T18+Datos!AL18))," - ")</f>
        <v>-0.55952380952380953</v>
      </c>
      <c r="D18" s="515">
        <f>IF(ISNUMBER(
   IF(D_I="SI",(Datos!K18-Datos!U18)/Datos!U18,(Datos!K18+Datos!AE18-(Datos!U18+Datos!AM18))/(Datos!U18+Datos!AM18))
     ),IF(D_I="SI",(Datos!K18-Datos!U18)/Datos!U18,(Datos!K18+Datos!AE18-(Datos!U18+Datos!AM18))/(Datos!U18+Datos!AM18))," - ")</f>
        <v>-0.61176470588235299</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-0.11860095389507151</v>
      </c>
      <c r="I18" s="515">
        <f>IF(ISNUMBER(((NºAsuntos!I18/NºAsuntos!G18)-Datos!BE18)/Datos!BE18),((NºAsuntos!I18/NºAsuntos!G18)-Datos!BE18)/Datos!BE18," - ")</f>
        <v>1.943722943722944</v>
      </c>
      <c r="J18" s="521">
        <f>IF(ISNUMBER((('Resol  Asuntos'!D18/NºAsuntos!G18)-Datos!BF18)/Datos!BF18),(('Resol  Asuntos'!D18/NºAsuntos!G18)-Datos!BF18)/Datos!BF18," - ")</f>
        <v>-1</v>
      </c>
      <c r="K18" s="522">
        <f>IF(ISNUMBER((((NºAsuntos!C18+NºAsuntos!E18)/NºAsuntos!G18)-Datos!BG18)/Datos!BG18),(((NºAsuntos!C18+NºAsuntos!E18)/NºAsuntos!G18)-Datos!BG18)/Datos!BG18," - ")</f>
        <v>0.48163046393134895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-0.33636363636363636</v>
      </c>
      <c r="C23" s="1152">
        <f>IF(ISNUMBER(
   IF(Criterios!B14="SI",(Datos!J23-Datos!T23)/Datos!T23,(Datos!J23+Datos!AD23-(Datos!T23+Datos!AL23))/(Datos!T23+Datos!AL23))
     ),IF(Criterios!B14="SI",(Datos!J23-Datos!T23)/Datos!T23,(Datos!J23+Datos!AD23-(Datos!T23+Datos!AL23))/(Datos!T23+Datos!AL23))," - ")</f>
        <v>-0.1725997842502697</v>
      </c>
      <c r="D23" s="1152">
        <f>IF(ISNUMBER(
   IF(Criterios!B14="SI",(Datos!K23-Datos!U23)/Datos!U23,(Datos!K23+Datos!AE23-(Datos!U23+Datos!AM23))/(Datos!U23+Datos!AM23))
     ),IF(Criterios!B14="SI",(Datos!K23-Datos!U23)/Datos!U23,(Datos!K23+Datos!AE23-(Datos!U23+Datos!AM23))/(Datos!U23+Datos!AM23))," - ")</f>
        <v>-0.34197407776669991</v>
      </c>
      <c r="E23" s="1152">
        <f>IF(ISNUMBER(
   IF(Criterios!B14="SI",(Datos!L23-Datos!V23)/Datos!V23,(Datos!L23+Datos!AF23-(Datos!V23+Datos!AN23))/(Datos!V23+Datos!AN23))
     ),IF(Criterios!B14="SI",(Datos!L23-Datos!V23)/Datos!V23,(Datos!L23+Datos!AF23-(Datos!V23+Datos!AN23))/(Datos!V23+Datos!AN23))," - ")</f>
        <v>0.48858447488584472</v>
      </c>
      <c r="F23" s="1153">
        <f>IF(ISNUMBER((Datos!M23-Datos!W23)/Datos!W23),(Datos!M23-Datos!W23)/Datos!W23," - ")</f>
        <v>-4.2553191489361701E-2</v>
      </c>
      <c r="G23" s="1154">
        <f>IF(ISNUMBER((Datos!N23-Datos!X23)/Datos!X23),(Datos!N23-Datos!X23)/Datos!X23," - ")</f>
        <v>-0.28628230616302186</v>
      </c>
      <c r="H23" s="1154">
        <f>IF(ISNUMBER(((NºAsuntos!G23/NºAsuntos!E23)-Datos!BD23)/Datos!BD23),((NºAsuntos!G23/NºAsuntos!E23)-Datos!BD23)/Datos!BD23," - ")</f>
        <v>-0.20470661028648088</v>
      </c>
      <c r="I23" s="1154">
        <f>IF(ISNUMBER(((NºAsuntos!I23/NºAsuntos!G23)-Datos!BE23)/Datos!BE23),((NºAsuntos!I23/NºAsuntos!G23)-Datos!BE23)/Datos!BE23," - ")</f>
        <v>1.2621973156219735</v>
      </c>
      <c r="J23" s="1154">
        <f>IF(ISNUMBER((('Resol  Asuntos'!D23/NºAsuntos!G23)-Datos!BF23)/Datos!BF23),(('Resol  Asuntos'!D23/NºAsuntos!G23)-Datos!BF23)/Datos!BF23," - ")</f>
        <v>0.45502901353965181</v>
      </c>
      <c r="K23" s="1154">
        <f>IF(ISNUMBER((((NºAsuntos!C23+NºAsuntos!E23)/NºAsuntos!G23)-Datos!BG23)/Datos!BG23),(((NºAsuntos!C23+NºAsuntos!E23)/NºAsuntos!G23)-Datos!BG23)/Datos!BG23," - ")</f>
        <v>0.19206142571297688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-0.14427860696517414</v>
      </c>
      <c r="C31" s="1092">
        <f>IF(ISNUMBER(
   IF(J_V="SI",(Datos!J31-Datos!T31)/Datos!T31,(Datos!J31+Datos!Z31-(Datos!T31+Datos!AH31))/(Datos!T31+Datos!AH31))
     ),IF(J_V="SI",(Datos!J31-Datos!T31)/Datos!T31,(Datos!J31+Datos!Z31-(Datos!T31+Datos!AH31))/(Datos!T31+Datos!AH31))," - ")</f>
        <v>-8.6345381526104423E-2</v>
      </c>
      <c r="D31" s="1092">
        <f>IF(ISNUMBER(
   IF(J_V="SI",(Datos!K31-Datos!U31)/Datos!U31,(Datos!K31+Datos!AA31-(Datos!U31+Datos!AI31))/(Datos!U31+Datos!AI31))
     ),IF(J_V="SI",(Datos!K31-Datos!U31)/Datos!U31,(Datos!K31+Datos!AA31-(Datos!U31+Datos!AI31))/(Datos!U31+Datos!AI31))," - ")</f>
        <v>-0.18041485769416304</v>
      </c>
      <c r="E31" s="1092">
        <f>IF(ISNUMBER(
   IF(J_V="SI",(Datos!L31-Datos!V31)/Datos!V31,(Datos!L31+Datos!AB31-(Datos!V31+Datos!AJ31))/(Datos!V31+Datos!AJ31))
     ),IF(J_V="SI",(Datos!L31-Datos!V31)/Datos!V31,(Datos!L31+Datos!AB31-(Datos!V31+Datos!AJ31))/(Datos!V31+Datos!AJ31))," - ")</f>
        <v>0.17587209302325582</v>
      </c>
      <c r="F31" s="1093">
        <f>IF(ISNUMBER((Datos!M31-Datos!W31)/Datos!W31),(Datos!M31-Datos!W31)/Datos!W31," - ")</f>
        <v>9.6618357487922701E-3</v>
      </c>
      <c r="G31" s="1094">
        <f>IF(ISNUMBER((Datos!N31-Datos!X31)/Datos!X31),(Datos!N31-Datos!X31)/Datos!X31," - ")</f>
        <v>-0.16945373467112598</v>
      </c>
      <c r="H31" s="1095">
        <f>IF(ISNUMBER((Tasas!B31-Datos!BD31)/Datos!BD31),(Tasas!B31-Datos!BD31)/Datos!BD31," - ")</f>
        <v>-0.10295955853119389</v>
      </c>
      <c r="I31" s="1096">
        <f>IF(ISNUMBER((Tasas!C31-Datos!BE31)/Datos!BE31),(Tasas!C31-Datos!BE31)/Datos!BE31," - ")</f>
        <v>0.43471621473643879</v>
      </c>
      <c r="J31" s="1097">
        <f>IF(ISNUMBER((Tasas!D31-Datos!BF31)/Datos!BF31),(Tasas!D31-Datos!BF31)/Datos!BF31," - ")</f>
        <v>-5.2018353240808578E-2</v>
      </c>
      <c r="K31" s="1097">
        <f>IF(ISNUMBER((Tasas!E31-Datos!BG31)/Datos!BG31),(Tasas!E31-Datos!BG31)/Datos!BG31," - ")</f>
        <v>9.4450914069624387E-2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m+pjOYM5AjA/sjgM5QOJ2SjjMSWm3ULWjlqWnnMsZLZrq4J08oDX5XhLuRnAMLdX612ivk0bbY+AIAlmWww==" saltValue="AMPbrA/rqFcTx5NqfCfo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VILALBA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1.8333333333333333</v>
      </c>
      <c r="C10" s="498">
        <f>IF(ISNUMBER(NºAsuntos!I10/NºAsuntos!G10),NºAsuntos!I10/NºAsuntos!G10," - ")</f>
        <v>0</v>
      </c>
      <c r="D10" s="499">
        <f>IF(ISNUMBER('Resol  Asuntos'!D10/NºAsuntos!G10),'Resol  Asuntos'!D10/NºAsuntos!G10," - ")</f>
        <v>0.54545454545454541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0.98185291308500477</v>
      </c>
      <c r="C12" s="498">
        <f>IF(ISNUMBER(NºAsuntos!I12/NºAsuntos!G12),NºAsuntos!I12/NºAsuntos!G12," - ")</f>
        <v>0.46984435797665369</v>
      </c>
      <c r="D12" s="499">
        <f>IF(ISNUMBER('Resol  Asuntos'!D12/NºAsuntos!G12),'Resol  Asuntos'!D12/NºAsuntos!G12," - ")</f>
        <v>0.26945525291828792</v>
      </c>
      <c r="E12" s="500">
        <f>IF(ISNUMBER((NºAsuntos!C12+NºAsuntos!E12)/NºAsuntos!G12),(NºAsuntos!C12+NºAsuntos!E12)/NºAsuntos!G12," - ")</f>
        <v>1.4698443579766538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0.98670465337132007</v>
      </c>
      <c r="C14" s="1156">
        <f>IF(ISNUMBER(NºAsuntos!I14/NºAsuntos!G14),NºAsuntos!I14/NºAsuntos!G14," - ")</f>
        <v>0.46487006737247355</v>
      </c>
      <c r="D14" s="1157">
        <f>IF(ISNUMBER('Resol  Asuntos'!D14/NºAsuntos!G14),'Resol  Asuntos'!D14/NºAsuntos!G14," - ")</f>
        <v>0.27237728585178056</v>
      </c>
      <c r="E14" s="1158">
        <f>IF(ISNUMBER((NºAsuntos!C14+NºAsuntos!E14)/NºAsuntos!G14),(NºAsuntos!C14+NºAsuntos!E14)/NºAsuntos!G14," - ")</f>
        <v>1.4648700673724735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0.85890410958904106</v>
      </c>
      <c r="C17" s="498">
        <f>IF(ISNUMBER(NºAsuntos!I17/NºAsuntos!G17),NºAsuntos!I17/NºAsuntos!G17," - ")</f>
        <v>0.46889952153110048</v>
      </c>
      <c r="D17" s="499">
        <f>IF(ISNUMBER('Resol  Asuntos'!D17/NºAsuntos!G17),'Resol  Asuntos'!D17/NºAsuntos!G17," - ")</f>
        <v>0.21531100478468901</v>
      </c>
      <c r="E17" s="500">
        <f>IF(ISNUMBER((NºAsuntos!C17+NºAsuntos!E17)/NºAsuntos!G17),(NºAsuntos!C17+NºAsuntos!E17)/NºAsuntos!G17," - ")</f>
        <v>1.4688995215311005</v>
      </c>
      <c r="G17" s="523"/>
    </row>
    <row r="18" spans="1:7">
      <c r="A18" s="450" t="str">
        <f>Datos!A18</f>
        <v>Jdos. Violencia contra la mujer</v>
      </c>
      <c r="B18" s="497">
        <f>IF(ISNUMBER(NºAsuntos!G18/NºAsuntos!E18),NºAsuntos!G18/NºAsuntos!E18," - ")</f>
        <v>0.89189189189189189</v>
      </c>
      <c r="C18" s="498">
        <f>IF(ISNUMBER(NºAsuntos!I18/NºAsuntos!G18),NºAsuntos!I18/NºAsuntos!G18," - ")</f>
        <v>0.96969696969696972</v>
      </c>
      <c r="D18" s="499">
        <f>IF(ISNUMBER('Resol  Asuntos'!D18/NºAsuntos!G18),'Resol  Asuntos'!D18/NºAsuntos!G18," - ")</f>
        <v>0</v>
      </c>
      <c r="E18" s="500">
        <f>IF(ISNUMBER((NºAsuntos!C18+NºAsuntos!E18)/NºAsuntos!G18),(NºAsuntos!C18+NºAsuntos!E18)/NºAsuntos!G18," - ")</f>
        <v>1.9696969696969697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0.86049543676662321</v>
      </c>
      <c r="C23" s="1156">
        <f>IF(ISNUMBER(NºAsuntos!I23/NºAsuntos!G23),NºAsuntos!I23/NºAsuntos!G23," - ")</f>
        <v>0.49393939393939396</v>
      </c>
      <c r="D23" s="1159">
        <f>IF(ISNUMBER('Resol  Asuntos'!D23/NºAsuntos!G23),'Resol  Asuntos'!D23/NºAsuntos!G23," - ")</f>
        <v>0.20454545454545456</v>
      </c>
      <c r="E23" s="1158">
        <f>IF(ISNUMBER((NºAsuntos!C23+NºAsuntos!E23)/NºAsuntos!G23),(NºAsuntos!C23+NºAsuntos!E23)/NºAsuntos!G23," - ")</f>
        <v>1.4939393939393939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0.93351648351648353</v>
      </c>
      <c r="C31" s="1099">
        <f>IF(ISNUMBER(NºAsuntos!I31/NºAsuntos!G31),NºAsuntos!I31/NºAsuntos!G31," - ")</f>
        <v>0.47616244849911715</v>
      </c>
      <c r="D31" s="1100">
        <f>IF(ISNUMBER('Resol  Asuntos'!D31/NºAsuntos!G31),'Resol  Asuntos'!D31/NºAsuntos!G31," - ")</f>
        <v>0.24602707474985286</v>
      </c>
      <c r="E31" s="1101">
        <f>IF(ISNUMBER((NºAsuntos!C31+NºAsuntos!E31)/NºAsuntos!G31),(NºAsuntos!C31+NºAsuntos!E31)/NºAsuntos!G31," - ")</f>
        <v>1.4761624484991172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KZnWp0hY9f26jOaFjwp+hID/elHFcLsLYqRNMFan0t4suLSuKTT0fVD17PN65A31j2+FdFSlwmQfpuY8dy3GA==" saltValue="5EnPzhV8C+US3sz3ddXV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1.8333333333333333</v>
      </c>
      <c r="AM10" s="284">
        <f>IF(ISNUMBER(((NºAsuntos!I10/NºAsuntos!G10)*11)/factor_trimestre),((NºAsuntos!I10/NºAsuntos!G10)*11)/factor_trimestre," - ")</f>
        <v>0</v>
      </c>
      <c r="AN10" s="267">
        <f>IF(ISNUMBER('Resol  Asuntos'!D10/NºAsuntos!G10),'Resol  Asuntos'!D10/NºAsuntos!G10," - ")</f>
        <v>0.54545454545454541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280</v>
      </c>
      <c r="Y12" s="374">
        <f t="shared" si="0"/>
        <v>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277</v>
      </c>
      <c r="AJ12" s="243" t="str">
        <f>IF(ISNUMBER(Datos!BW12),Datos!BW12," - ")</f>
        <v xml:space="preserve"> - </v>
      </c>
      <c r="AK12" s="242" t="str">
        <f>IF(ISNUMBER(Datos!BX12),Datos!BX12," - ")</f>
        <v xml:space="preserve"> - </v>
      </c>
      <c r="AL12" s="266">
        <f>IF(ISNUMBER(NºAsuntos!G12/NºAsuntos!E12),NºAsuntos!G12/NºAsuntos!E12," - ")</f>
        <v>0.98185291308500477</v>
      </c>
      <c r="AM12" s="284">
        <f>IF(ISNUMBER(((NºAsuntos!I12/NºAsuntos!G12)*11)/factor_trimestre),((NºAsuntos!I12/NºAsuntos!G12)*11)/factor_trimestre," - ")</f>
        <v>5.168287937743191</v>
      </c>
      <c r="AN12" s="267">
        <f>IF(ISNUMBER('Resol  Asuntos'!D12/NºAsuntos!G12),'Resol  Asuntos'!D12/NºAsuntos!G12," - ")</f>
        <v>0.26945525291828792</v>
      </c>
      <c r="AO12" s="268">
        <f>IF(ISNUMBER((NºAsuntos!C12+NºAsuntos!E12)/NºAsuntos!G12),(NºAsuntos!C12+NºAsuntos!E12)/NºAsuntos!G12," - ")</f>
        <v>1.4698443579766538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280</v>
      </c>
      <c r="Y14" s="1165">
        <f t="shared" si="6"/>
        <v>291</v>
      </c>
      <c r="Z14" s="1165">
        <f t="shared" si="6"/>
        <v>0</v>
      </c>
      <c r="AA14" s="1165">
        <f t="shared" si="6"/>
        <v>0</v>
      </c>
      <c r="AB14" s="1165">
        <f t="shared" si="6"/>
        <v>853</v>
      </c>
      <c r="AC14" s="1165">
        <f t="shared" si="6"/>
        <v>0</v>
      </c>
      <c r="AD14" s="1165">
        <f t="shared" si="6"/>
        <v>0</v>
      </c>
      <c r="AE14" s="1169">
        <f t="shared" si="6"/>
        <v>0</v>
      </c>
      <c r="AF14" s="1162">
        <f t="shared" si="6"/>
        <v>0</v>
      </c>
      <c r="AG14" s="1170">
        <f t="shared" si="6"/>
        <v>0</v>
      </c>
      <c r="AH14" s="1167">
        <f t="shared" si="6"/>
        <v>0</v>
      </c>
      <c r="AI14" s="1162">
        <f t="shared" si="6"/>
        <v>283</v>
      </c>
      <c r="AJ14" s="1164">
        <f t="shared" si="6"/>
        <v>0</v>
      </c>
      <c r="AK14" s="1167">
        <f>SUBTOTAL(9,AK9:AK13)</f>
        <v>0</v>
      </c>
      <c r="AL14" s="1171">
        <f>IF(ISNUMBER(NºAsuntos!G14/NºAsuntos!E14),NºAsuntos!G14/NºAsuntos!E14," - ")</f>
        <v>0.98670465337132007</v>
      </c>
      <c r="AM14" s="1171">
        <f>IF(ISNUMBER(((NºAsuntos!I14/NºAsuntos!G14)*11)/factor_trimestre),((NºAsuntos!I14/NºAsuntos!G14)*11)/factor_trimestre," - ")</f>
        <v>5.1135707410972087</v>
      </c>
      <c r="AN14" s="1172">
        <f>IF(ISNUMBER('Resol  Asuntos'!D14/NºAsuntos!G14),'Resol  Asuntos'!D14/NºAsuntos!G14," - ")</f>
        <v>0.27237728585178056</v>
      </c>
      <c r="AO14" s="1173">
        <f>IF(ISNUMBER((NºAsuntos!C14+NºAsuntos!E14)/NºAsuntos!G14),(NºAsuntos!C14+NºAsuntos!E14)/NºAsuntos!G14," - ")</f>
        <v>1.4648700673724735</v>
      </c>
      <c r="AP14" s="1174" t="str">
        <f t="shared" si="2"/>
        <v xml:space="preserve"> - </v>
      </c>
      <c r="AQ14" s="1174">
        <f>IF(ISNUMBER((H14-W14+K14)/(F14)),(H14-W14+K14)/(F14)," - ")</f>
        <v>-2.2000000000000002</v>
      </c>
      <c r="AR14" s="1175">
        <f>IF(ISNUMBER((Datos!P14-Datos!Q14)/(Datos!R14-Datos!P14+Datos!Q14)),(Datos!P14-Datos!Q14)/(Datos!R14-Datos!P14+Datos!Q14)," - ")</f>
        <v>-4.6927374301675977E-2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191</v>
      </c>
      <c r="G17" s="373">
        <f>IF(ISNUMBER(IF(D_I="SI",Datos!I17,Datos!I17+Datos!AC17)),IF(D_I="SI",Datos!I17,Datos!I17+Datos!AC17)," - ")</f>
        <v>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627</v>
      </c>
      <c r="X17" s="240">
        <f>IF(ISNUMBER(Datos!Q17),Datos!Q17," - ")</f>
        <v>27</v>
      </c>
      <c r="Y17" s="374">
        <f t="shared" ref="Y17:Y22" si="9">SUM(W17:X17)</f>
        <v>654</v>
      </c>
      <c r="Z17" s="375" t="str">
        <f>IF(ISNUMBER(Datos!CC17),Datos!CC17," - ")</f>
        <v xml:space="preserve"> - </v>
      </c>
      <c r="AA17" s="372">
        <f>IF(ISNUMBER(IF(D_I="SI",Datos!L17,Datos!L17+Datos!AF17)),IF(D_I="SI",Datos!L17,Datos!L17+Datos!AF17)," - ")</f>
        <v>294</v>
      </c>
      <c r="AB17" s="374">
        <f>IF(ISNUMBER(Datos!R17),Datos!R17," - ")</f>
        <v>19</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135</v>
      </c>
      <c r="AJ17" s="245" t="str">
        <f>IF(ISNUMBER(Datos!BW17),Datos!BW17," - ")</f>
        <v xml:space="preserve"> - </v>
      </c>
      <c r="AK17" s="246" t="str">
        <f>IF(ISNUMBER(Datos!BX17),Datos!BX17," - ")</f>
        <v xml:space="preserve"> - </v>
      </c>
      <c r="AL17" s="266">
        <f>IF(ISNUMBER(NºAsuntos!G17/NºAsuntos!E17),NºAsuntos!G17/NºAsuntos!E17," - ")</f>
        <v>0.85890410958904106</v>
      </c>
      <c r="AM17" s="284">
        <f>IF(ISNUMBER(((NºAsuntos!I17/NºAsuntos!G17)*11)/factor_trimestre),((NºAsuntos!I17/NºAsuntos!G17)*11)/factor_trimestre," - ")</f>
        <v>5.1578947368421053</v>
      </c>
      <c r="AN17" s="267">
        <f>IF(ISNUMBER('Resol  Asuntos'!D17/NºAsuntos!G17),'Resol  Asuntos'!D17/NºAsuntos!G17," - ")</f>
        <v>0.21531100478468901</v>
      </c>
      <c r="AO17" s="268">
        <f>IF(ISNUMBER((NºAsuntos!C17+NºAsuntos!E17)/NºAsuntos!G17),(NºAsuntos!C17+NºAsuntos!E17)/NºAsuntos!G17," - ")</f>
        <v>1.4688995215311005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32</v>
      </c>
      <c r="AB18" s="374">
        <f>IF(ISNUMBER(Datos!R18),Datos!R18," - ")</f>
        <v>0</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0.89189189189189189</v>
      </c>
      <c r="AM18" s="284">
        <f>IF(ISNUMBER(((NºAsuntos!I18/NºAsuntos!G18)*11)/factor_trimestre),((NºAsuntos!I18/NºAsuntos!G18)*11)/factor_trimestre," - ")</f>
        <v>10.666666666666668</v>
      </c>
      <c r="AN18" s="267">
        <f>IF(ISNUMBER('Resol  Asuntos'!D18/NºAsuntos!G18),'Resol  Asuntos'!D18/NºAsuntos!G18," - ")</f>
        <v>0</v>
      </c>
      <c r="AO18" s="268">
        <f>IF(ISNUMBER((NºAsuntos!C18+NºAsuntos!E18)/NºAsuntos!G18),(NºAsuntos!C18+NºAsuntos!E18)/NºAsuntos!G18," - ")</f>
        <v>1.9696969696969697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191</v>
      </c>
      <c r="G23" s="1163">
        <f>SUBTOTAL(9,G16:G22)</f>
        <v>219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660</v>
      </c>
      <c r="X23" s="1164">
        <f t="shared" si="14"/>
        <v>27</v>
      </c>
      <c r="Y23" s="1165">
        <f t="shared" si="14"/>
        <v>687</v>
      </c>
      <c r="Z23" s="1165">
        <f t="shared" si="14"/>
        <v>0</v>
      </c>
      <c r="AA23" s="1165">
        <f t="shared" si="14"/>
        <v>326</v>
      </c>
      <c r="AB23" s="1165">
        <f t="shared" si="14"/>
        <v>19</v>
      </c>
      <c r="AC23" s="1165">
        <f t="shared" si="14"/>
        <v>345</v>
      </c>
      <c r="AD23" s="1165">
        <f t="shared" si="14"/>
        <v>0</v>
      </c>
      <c r="AE23" s="1169">
        <f t="shared" si="14"/>
        <v>0</v>
      </c>
      <c r="AF23" s="1162">
        <f t="shared" si="14"/>
        <v>0</v>
      </c>
      <c r="AG23" s="1170">
        <f t="shared" si="14"/>
        <v>0</v>
      </c>
      <c r="AH23" s="1167">
        <f t="shared" si="14"/>
        <v>0</v>
      </c>
      <c r="AI23" s="1162">
        <f t="shared" si="14"/>
        <v>135</v>
      </c>
      <c r="AJ23" s="1164">
        <f t="shared" si="14"/>
        <v>0</v>
      </c>
      <c r="AK23" s="1167">
        <f t="shared" si="14"/>
        <v>0</v>
      </c>
      <c r="AL23" s="1171">
        <f>IF(ISNUMBER(NºAsuntos!G23/NºAsuntos!E23),NºAsuntos!G23/NºAsuntos!E23," - ")</f>
        <v>0.86049543676662321</v>
      </c>
      <c r="AM23" s="1171">
        <f>IF(ISNUMBER(((NºAsuntos!I23/NºAsuntos!G23)*11)/factor_trimestre),((NºAsuntos!I23/NºAsuntos!G23)*11)/factor_trimestre," - ")</f>
        <v>5.4333333333333336</v>
      </c>
      <c r="AN23" s="1172">
        <f>IF(ISNUMBER('Resol  Asuntos'!D23/NºAsuntos!G23),'Resol  Asuntos'!D23/NºAsuntos!G23," - ")</f>
        <v>0.20454545454545456</v>
      </c>
      <c r="AO23" s="1173">
        <f>IF(ISNUMBER((NºAsuntos!C23+NºAsuntos!E23)/NºAsuntos!G23),(NºAsuntos!C23+NºAsuntos!E23)/NºAsuntos!G23," - ")</f>
        <v>1.4939393939393939</v>
      </c>
      <c r="AP23" s="1174" t="str">
        <f t="shared" si="2"/>
        <v xml:space="preserve"> - </v>
      </c>
      <c r="AQ23" s="1174">
        <f>IF(ISNUMBER((H23-W23+K23)/(F23)),(H23-W23+K23)/(F23)," - ")</f>
        <v>-3.4554973821989527</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196</v>
      </c>
      <c r="G31" s="1118">
        <f t="shared" si="20"/>
        <v>224</v>
      </c>
      <c r="H31" s="1117">
        <f t="shared" si="20"/>
        <v>0</v>
      </c>
      <c r="I31" s="1119">
        <f t="shared" si="20"/>
        <v>0</v>
      </c>
      <c r="J31" s="1119">
        <f t="shared" si="20"/>
        <v>0</v>
      </c>
      <c r="K31" s="1180">
        <f t="shared" si="20"/>
        <v>0</v>
      </c>
      <c r="L31" s="1119">
        <f t="shared" si="20"/>
        <v>246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671</v>
      </c>
      <c r="X31" s="1118">
        <f t="shared" si="21"/>
        <v>307</v>
      </c>
      <c r="Y31" s="1125">
        <f t="shared" si="21"/>
        <v>978</v>
      </c>
      <c r="Z31" s="1125">
        <f t="shared" si="21"/>
        <v>0</v>
      </c>
      <c r="AA31" s="1125">
        <f t="shared" si="21"/>
        <v>326</v>
      </c>
      <c r="AB31" s="1125">
        <f t="shared" si="21"/>
        <v>872</v>
      </c>
      <c r="AC31" s="1125">
        <f t="shared" si="21"/>
        <v>345</v>
      </c>
      <c r="AD31" s="1125">
        <f t="shared" si="21"/>
        <v>0</v>
      </c>
      <c r="AE31" s="1127">
        <f t="shared" si="21"/>
        <v>0</v>
      </c>
      <c r="AF31" s="1128">
        <f t="shared" si="21"/>
        <v>0</v>
      </c>
      <c r="AG31" s="1129">
        <f t="shared" si="21"/>
        <v>0</v>
      </c>
      <c r="AH31" s="1127">
        <f t="shared" si="21"/>
        <v>0</v>
      </c>
      <c r="AI31" s="1117">
        <f t="shared" si="21"/>
        <v>418</v>
      </c>
      <c r="AJ31" s="1117">
        <f t="shared" si="21"/>
        <v>0</v>
      </c>
      <c r="AK31" s="1127">
        <f t="shared" si="21"/>
        <v>0</v>
      </c>
      <c r="AL31" s="1183">
        <f>IF(ISNUMBER(NºAsuntos!G31/NºAsuntos!E31),NºAsuntos!G31/NºAsuntos!E31," - ")</f>
        <v>0.93351648351648353</v>
      </c>
      <c r="AM31" s="1184">
        <f>IF(ISNUMBER(((NºAsuntos!I31/NºAsuntos!G31)*11)/factor_trimestre),((NºAsuntos!I31/NºAsuntos!G31)*11)/factor_trimestre," - ")</f>
        <v>5.2377869334902885</v>
      </c>
      <c r="AN31" s="1184">
        <f>IF(ISNUMBER('Resol  Asuntos'!D31/NºAsuntos!G31),'Resol  Asuntos'!D31/NºAsuntos!G31," - ")</f>
        <v>0.24602707474985286</v>
      </c>
      <c r="AO31" s="1185">
        <f>IF(ISNUMBER((NºAsuntos!C31+NºAsuntos!E31)/NºAsuntos!G31),(NºAsuntos!C31+NºAsuntos!E31)/NºAsuntos!G31," - ")</f>
        <v>1.4761624484991172</v>
      </c>
      <c r="AP31" s="1186" t="str">
        <f t="shared" si="2"/>
        <v xml:space="preserve"> - </v>
      </c>
      <c r="AQ31" s="1187">
        <f>IF(OR(ISNUMBER(FIND("01",Criterios!A8,1)),ISNUMBER(FIND("02",Criterios!A8,1)),ISNUMBER(FIND("03",Criterios!A8,1)),ISNUMBER(FIND("04",Criterios!A8,1))),(I31-W31+K31)/(F31-K31),(H31-W31+K31)/(F31-K31))</f>
        <v>-3.4234693877551021</v>
      </c>
      <c r="AR31" s="1188">
        <f>IF(ISNUMBER((Datos!P31-Datos!Q31)/(Datos!R31-Datos!P31+Datos!Q31)),(Datos!P31-Datos!Q31)/(Datos!R31-Datos!P31+Datos!Q31)," - ")</f>
        <v>-6.5380493033226156E-2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97.366660960857985</v>
      </c>
      <c r="G33" s="277">
        <f>IF(ISNUMBER(STDEV(G8:G30)),STDEV(G8:G30),"-")</f>
        <v>97.128780492704635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308.9712577170215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123.0226459989031</v>
      </c>
      <c r="AJ33" s="276">
        <f t="shared" si="25"/>
        <v>0</v>
      </c>
      <c r="AK33" s="278">
        <f t="shared" si="25"/>
        <v>0</v>
      </c>
      <c r="AL33" s="273">
        <f t="shared" si="25"/>
        <v>0.37882824336756687</v>
      </c>
      <c r="AM33" s="274">
        <f t="shared" si="25"/>
        <v>3.3754969614320065</v>
      </c>
      <c r="AN33" s="274">
        <f t="shared" si="25"/>
        <v>0.17546143466513256</v>
      </c>
      <c r="AO33" s="275">
        <f t="shared" si="25"/>
        <v>0.30686336013018245</v>
      </c>
      <c r="AP33" s="317" t="str">
        <f t="shared" si="25"/>
        <v>-</v>
      </c>
      <c r="AQ33" s="318">
        <f t="shared" si="25"/>
        <v>0.88777071271483754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TTPTIywb6vav4vJWEGjUCTGnq63jZADiIsa0spEZO2vPB5S44xFwjnjhM5clU8bKAZjna6+conP5SOZyyxh7Q==" saltValue="fxrOvAfd5YQdTeoMaaJ3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VILALBA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0.5714285714285714</v>
      </c>
      <c r="G10" s="394">
        <f>IF(ISNUMBER((Datos!L10-Datos!V10)/Datos!V10),(Datos!L10-Datos!V10)/Datos!V10," - ")</f>
        <v>-1</v>
      </c>
      <c r="H10" s="244">
        <f>IF(ISNUMBER((Datos!M10-Datos!W10)/Datos!W10),(Datos!M10-Datos!W10)/Datos!W10," - ")</f>
        <v>1</v>
      </c>
      <c r="I10" s="395">
        <f>IF(ISNUMBER((Tasas!C10-Datos!BE10)/Datos!BE10),(Tasas!C10-Datos!BE10)/Datos!BE10," - ")</f>
        <v>-1</v>
      </c>
      <c r="J10" s="394">
        <f>IF(ISNUMBER((Tasas!D10-Datos!BF10)/Datos!BF10),(Tasas!D10-Datos!BF10)/Datos!BF10," - ")</f>
        <v>0.27272727272727271</v>
      </c>
      <c r="K10" s="396">
        <f>IF(ISNUMBER((Tasas!E10-Datos!BG10)/Datos!BG10),(Tasas!E10-Datos!BG10)/Datos!BG10," - ")</f>
        <v>-0.41666666666666663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2.5925925925925925E-2</v>
      </c>
      <c r="I12" s="395">
        <f>IF(ISNUMBER((Tasas!C12-Datos!BE12)/Datos!BE12),(Tasas!C12-Datos!BE12)/Datos!BE12," - ")</f>
        <v>7.6389121830135534E-2</v>
      </c>
      <c r="J12" s="394">
        <f>IF(ISNUMBER((Tasas!D12-Datos!BF12)/Datos!BF12),(Tasas!D12-Datos!BF12)/Datos!BF12," - ")</f>
        <v>-0.27301793438543126</v>
      </c>
      <c r="K12" s="396">
        <f>IF(ISNUMBER((Tasas!E12-Datos!BG12)/Datos!BG12),(Tasas!E12-Datos!BG12)/Datos!BG12," - ")</f>
        <v>2.321188770738896E-2</v>
      </c>
      <c r="M12" t="e">
        <f>IF(Monitorios="SI",Datos!CE12,0)</f>
        <v>#REF!</v>
      </c>
      <c r="N12" t="e">
        <f>IF(Monitorios="SI",Datos!CF12,0)</f>
        <v>#REF!</v>
      </c>
      <c r="O12" t="e">
        <f>IF(Monitorios="SI",Datos!CG12,0)</f>
        <v>#REF!</v>
      </c>
      <c r="P12" t="e">
        <f>IF(Monitorios="SI",Datos!CH12,0)</f>
        <v>#REF!</v>
      </c>
      <c r="Q12">
        <f>IF(J_V="SI",0,Datos!AG12)</f>
        <v>48</v>
      </c>
      <c r="R12">
        <f>IF(J_V="SI",0,Datos!AH12)</f>
        <v>158</v>
      </c>
      <c r="S12">
        <f>IF(J_V="SI",0,Datos!AI12)</f>
        <v>164</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3.6630036630036632E-2</v>
      </c>
      <c r="I14" s="402">
        <f>IF(ISNUMBER((Tasas!C14-Datos!BE14)/Datos!BE14),(Tasas!C14-Datos!BE14)/Datos!BE14," - ")</f>
        <v>6.057776564722115E-2</v>
      </c>
      <c r="J14" s="400">
        <f>IF(ISNUMBER((Tasas!D14-Datos!BF14)/Datos!BF14),(Tasas!D14-Datos!BF14)/Datos!BF14," - ")</f>
        <v>-0.2658848970745461</v>
      </c>
      <c r="K14" s="403">
        <f>IF(ISNUMBER((Tasas!E14-Datos!BG14)/Datos!BG14),(Tasas!E14-Datos!BG14)/Datos!BG14," - ")</f>
        <v>1.8460670622837374E-2</v>
      </c>
      <c r="M14" t="e">
        <f>IF(Monitorios="SI",Datos!CE14,0)</f>
        <v>#REF!</v>
      </c>
      <c r="N14" t="e">
        <f>IF(Monitorios="SI",Datos!CF14,0)</f>
        <v>#REF!</v>
      </c>
      <c r="O14" t="e">
        <f>IF(Monitorios="SI",Datos!CG14,0)</f>
        <v>#REF!</v>
      </c>
      <c r="P14" t="e">
        <f>IF(Monitorios="SI",Datos!CH14,0)</f>
        <v>#REF!</v>
      </c>
      <c r="Q14">
        <f>IF(J_V="SI",0,Datos!AG14)</f>
        <v>48</v>
      </c>
      <c r="R14">
        <f>IF(J_V="SI",0,Datos!AH14)</f>
        <v>158</v>
      </c>
      <c r="S14">
        <f>IF(J_V="SI",0,Datos!AI14)</f>
        <v>164</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-0.36544850498338871</v>
      </c>
      <c r="E17" s="393">
        <f>IF(ISNUMBER(
   IF(D_I="SI",(Datos!J17-Datos!T17)/Datos!T17,(Datos!J17+Datos!AD17-(Datos!T17+Datos!AL17))/(Datos!T17+Datos!AL17))
     ),IF(D_I="SI",(Datos!J17-Datos!T17)/Datos!T17,(Datos!J17+Datos!AD17-(Datos!T17+Datos!AL17))/(Datos!T17+Datos!AL17))," - ")</f>
        <v>-0.13404507710557534</v>
      </c>
      <c r="F17" s="393">
        <f>IF(ISNUMBER(
   IF(D_I="SI",(Datos!K17-Datos!U17)/Datos!U17,(Datos!K17+Datos!AE17-(Datos!U17+Datos!AM17))/(Datos!U17+Datos!AM17))
     ),IF(D_I="SI",(Datos!K17-Datos!U17)/Datos!U17,(Datos!K17+Datos!AE17-(Datos!U17+Datos!AM17))/(Datos!U17+Datos!AM17))," - ")</f>
        <v>-0.31699346405228757</v>
      </c>
      <c r="G17" s="394">
        <f>IF(ISNUMBER(
   IF(D_I="SI",(Datos!L17-Datos!V17)/Datos!V17,(Datos!L17+Datos!AF17-(Datos!V17+Datos!AN17))/(Datos!V17+Datos!AN17))
     ),IF(D_I="SI",(Datos!L17-Datos!V17)/Datos!V17,(Datos!L17+Datos!AF17-(Datos!V17+Datos!AN17))/(Datos!V17+Datos!AN17))," - ")</f>
        <v>0.53926701570680624</v>
      </c>
      <c r="H17" s="244">
        <f>IF(ISNUMBER((Datos!M17-Datos!W17)/Datos!W17),(Datos!M17-Datos!W17)/Datos!W17," - ")</f>
        <v>0</v>
      </c>
      <c r="I17" s="395">
        <f>IF(ISNUMBER((Tasas!C17-Datos!BE17)/Datos!BE17),(Tasas!C17-Datos!BE17)/Datos!BE17," - ")</f>
        <v>1.2536636689295826</v>
      </c>
      <c r="J17" s="394">
        <f>IF(ISNUMBER((Tasas!D17-Datos!BF17)/Datos!BF17),(Tasas!D17-Datos!BF17)/Datos!BF17," - ")</f>
        <v>0.4641148325358852</v>
      </c>
      <c r="K17" s="396">
        <f>IF(ISNUMBER((Tasas!E17-Datos!BG17)/Datos!BG17),(Tasas!E17-Datos!BG17)/Datos!BG17," - ")</f>
        <v>0.17871482584401235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-3.4482758620689655E-2</v>
      </c>
      <c r="E18" s="393">
        <f>IF(ISNUMBER(
   IF(D_I="SI",(Datos!J18-Datos!T18)/Datos!T18,(Datos!J18+Datos!AD18-(Datos!T18+Datos!AL18))/(Datos!T18+Datos!AL18))
     ),IF(D_I="SI",(Datos!J18-Datos!T18)/Datos!T18,(Datos!J18+Datos!AD18-(Datos!T18+Datos!AL18))/(Datos!T18+Datos!AL18))," - ")</f>
        <v>-0.55952380952380953</v>
      </c>
      <c r="F18" s="393">
        <f>IF(ISNUMBER(
   IF(D_I="SI",(Datos!K18-Datos!U18)/Datos!U18,(Datos!K18+Datos!AE18-(Datos!U18+Datos!AM18))/(Datos!U18+Datos!AM18))
     ),IF(D_I="SI",(Datos!K18-Datos!U18)/Datos!U18,(Datos!K18+Datos!AE18-(Datos!U18+Datos!AM18))/(Datos!U18+Datos!AM18))," - ")</f>
        <v>-0.61176470588235299</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-1</v>
      </c>
      <c r="I18" s="395">
        <f>IF(ISNUMBER((Tasas!C18-Datos!BE18)/Datos!BE18),(Tasas!C18-Datos!BE18)/Datos!BE18," - ")</f>
        <v>1.943722943722944</v>
      </c>
      <c r="J18" s="394">
        <f>IF(ISNUMBER((Tasas!D18-Datos!BF18)/Datos!BF18),(Tasas!D18-Datos!BF18)/Datos!BF18," - ")</f>
        <v>-1</v>
      </c>
      <c r="K18" s="396">
        <f>IF(ISNUMBER((Tasas!E18-Datos!BG18)/Datos!BG18),(Tasas!E18-Datos!BG18)/Datos!BG18," - ")</f>
        <v>0.48163046393134895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-0.33636363636363636</v>
      </c>
      <c r="E23" s="399">
        <f>IF(ISNUMBER(
   IF(D_I="SI",(Datos!J23-Datos!T23)/Datos!T23,(Datos!J23+Datos!AD23-(Datos!T23+Datos!AL23))/(Datos!T23+Datos!AL23))
     ),IF(D_I="SI",(Datos!J23-Datos!T23)/Datos!T23,(Datos!J23+Datos!AD23-(Datos!T23+Datos!AL23))/(Datos!T23+Datos!AL23))," - ")</f>
        <v>-0.1725997842502697</v>
      </c>
      <c r="F23" s="399">
        <f>IF(ISNUMBER(
   IF(D_I="SI",(Datos!K23-Datos!U23)/Datos!U23,(Datos!K23+Datos!AE23-(Datos!U23+Datos!AM23))/(Datos!U23+Datos!AM23))
     ),IF(D_I="SI",(Datos!K23-Datos!U23)/Datos!U23,(Datos!K23+Datos!AE23-(Datos!U23+Datos!AM23))/(Datos!U23+Datos!AM23))," - ")</f>
        <v>-0.34197407776669991</v>
      </c>
      <c r="G23" s="400">
        <f>IF(ISNUMBER(
   IF(D_I="SI",(Datos!L23-Datos!V23)/Datos!V23,(Datos!L23+Datos!AF23-(Datos!V23+Datos!AN23))/(Datos!V23+Datos!AN23))
     ),IF(D_I="SI",(Datos!L23-Datos!V23)/Datos!V23,(Datos!L23+Datos!AF23-(Datos!V23+Datos!AN23))/(Datos!V23+Datos!AN23))," - ")</f>
        <v>0.48858447488584472</v>
      </c>
      <c r="H23" s="401">
        <f>IF(ISNUMBER((Datos!M23-Datos!W23)/Datos!W23),(Datos!M23-Datos!W23)/Datos!W23," - ")</f>
        <v>-4.2553191489361701E-2</v>
      </c>
      <c r="I23" s="402">
        <f>IF(ISNUMBER((Tasas!C23-Datos!BE23)/Datos!BE23),(Tasas!C23-Datos!BE23)/Datos!BE23," - ")</f>
        <v>1.2621973156219735</v>
      </c>
      <c r="J23" s="400">
        <f>IF(ISNUMBER((Tasas!D23-Datos!BF23)/Datos!BF23),(Tasas!D23-Datos!BF23)/Datos!BF23," - ")</f>
        <v>0.45502901353965181</v>
      </c>
      <c r="K23" s="403">
        <f>IF(ISNUMBER((Tasas!E23-Datos!BG23)/Datos!BG23),(Tasas!E23-Datos!BG23)/Datos!BG23," - ")</f>
        <v>0.19206142571297688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-0.14427860696517414</v>
      </c>
      <c r="E31" s="409">
        <f>IF(ISNUMBER(
   IF(J_V="SI",(Datos!J31-Datos!T31)/Datos!T31,(Datos!J31+Datos!Z31-(Datos!T31+Datos!AH31))/(Datos!T31+Datos!AH31))
     ),IF(J_V="SI",(Datos!J31-Datos!T31)/Datos!T31,(Datos!J31+Datos!Z31-(Datos!T31+Datos!AH31))/(Datos!T31+Datos!AH31))," - ")</f>
        <v>-8.6345381526104423E-2</v>
      </c>
      <c r="F31" s="409">
        <f>IF(ISNUMBER(
   IF(J_V="SI",(Datos!K31-Datos!U31)/Datos!U31,(Datos!K31+Datos!AA31-(Datos!U31+Datos!AI31))/(Datos!U31+Datos!AI31))
     ),IF(J_V="SI",(Datos!K31-Datos!U31)/Datos!U31,(Datos!K31+Datos!AA31-(Datos!U31+Datos!AI31))/(Datos!U31+Datos!AI31))," - ")</f>
        <v>-0.18041485769416304</v>
      </c>
      <c r="G31" s="410">
        <f>IF(ISNUMBER(
   IF(J_V="SI",(Datos!L31-Datos!V31)/Datos!V31,(Datos!L31+Datos!AB31-(Datos!V31+Datos!AJ31))/(Datos!V31+Datos!AJ31))
     ),IF(J_V="SI",(Datos!L31-Datos!V31)/Datos!V31,(Datos!L31+Datos!AB31-(Datos!V31+Datos!AJ31))/(Datos!V31+Datos!AJ31))," - ")</f>
        <v>0.17587209302325582</v>
      </c>
      <c r="H31" s="411">
        <f>IF(ISNUMBER((Datos!M31-Datos!W31)/Datos!W31),(Datos!M31-Datos!W31)/Datos!W31," - ")</f>
        <v>9.6618357487922701E-3</v>
      </c>
      <c r="I31" s="408">
        <f>IF(ISNUMBER((Tasas!C31-Datos!BE31)/Datos!BE31),(Tasas!C31-Datos!BE31)/Datos!BE31," - ")</f>
        <v>0.43471621473643879</v>
      </c>
      <c r="J31" s="409">
        <f>IF(ISNUMBER((Tasas!D31-Datos!BF31)/Datos!BF31),(Tasas!D31-Datos!BF31)/Datos!BF31," - ")</f>
        <v>-5.2018353240808578E-2</v>
      </c>
      <c r="K31" s="410">
        <f>IF(ISNUMBER((Tasas!E31-Datos!BG31)/Datos!BG31),(Tasas!E31-Datos!BG31)/Datos!BG31," - ")</f>
        <v>9.4450914069624387E-2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0.15473099924011025</v>
      </c>
      <c r="E33" s="303">
        <f t="shared" si="1"/>
        <v>0.24032174269796366</v>
      </c>
      <c r="F33" s="303">
        <f t="shared" si="1"/>
        <v>0.51509267315449203</v>
      </c>
      <c r="G33" s="304">
        <f t="shared" si="1"/>
        <v>0.71708821103369924</v>
      </c>
      <c r="H33" s="310">
        <f t="shared" si="1"/>
        <v>0.63304944549108344</v>
      </c>
      <c r="I33" s="302">
        <f t="shared" si="1"/>
        <v>1.0767093890389225</v>
      </c>
      <c r="J33" s="303">
        <f t="shared" si="1"/>
        <v>0.56956051167347255</v>
      </c>
      <c r="K33" s="304">
        <f t="shared" si="1"/>
        <v>0.29573570981561148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aZas34fIeXI71ULD0hvQLb9u2xuL1GQez+wSAPKPi8dyiEdTN6U3tWlYjF8coUe8Op8HTEWgpYrTA9gXZe3+g==" saltValue="z/VtjGXT7fvhPjwFG0s6b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